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bgenco.local\Share\KRK\Группа баланса и реализации услуг\раскрытие информации\"/>
    </mc:Choice>
  </mc:AlternateContent>
  <bookViews>
    <workbookView xWindow="0" yWindow="0" windowWidth="25200" windowHeight="10665" firstSheet="3" activeTab="3"/>
  </bookViews>
  <sheets>
    <sheet name=" Баланс 2017 план-факт " sheetId="1" state="hidden" r:id="rId1"/>
    <sheet name="Баланс 2018 план-факт" sheetId="2" state="hidden" r:id="rId2"/>
    <sheet name="Баланс 2019 г план-факт" sheetId="3" state="hidden" r:id="rId3"/>
    <sheet name="Баланс факт 2021 г, план 2022" sheetId="4" r:id="rId4"/>
  </sheets>
  <externalReferences>
    <externalReference r:id="rId5"/>
    <externalReference r:id="rId6"/>
    <externalReference r:id="rId7"/>
    <externalReference r:id="rId8"/>
  </externalReferences>
  <definedNames>
    <definedName name="anscount" hidden="1">1</definedName>
    <definedName name="logic">[1]TEHSHEET!$F$2:$F$3</definedName>
    <definedName name="MONTH">[1]TEHSHEET!$D$2:$D$14</definedName>
    <definedName name="MR_LIST">[1]REESTR_MO!$D$2:$D$62</definedName>
    <definedName name="org">[1]Титульный!$G$18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version">[1]Инструкция!$B$3</definedName>
    <definedName name="YEAR">[1]TEHSHEET!$E$2:$E$5</definedName>
    <definedName name="_xlnm.Print_Area" localSheetId="0">' Баланс 2017 план-факт '!$A$1:$AQ$21</definedName>
    <definedName name="_xlnm.Print_Area" localSheetId="1">'Баланс 2018 план-факт'!$A$1:$AP$27</definedName>
    <definedName name="_xlnm.Print_Area" localSheetId="2">'Баланс 2019 г план-факт'!$A$1:$L$27</definedName>
  </definedNames>
  <calcPr calcId="162913"/>
</workbook>
</file>

<file path=xl/calcChain.xml><?xml version="1.0" encoding="utf-8"?>
<calcChain xmlns="http://schemas.openxmlformats.org/spreadsheetml/2006/main">
  <c r="G15" i="4" l="1"/>
  <c r="F15" i="4"/>
  <c r="D15" i="4"/>
  <c r="D14" i="4" s="1"/>
  <c r="C30" i="4" l="1"/>
  <c r="D29" i="4"/>
  <c r="E29" i="4" l="1"/>
  <c r="F29" i="4"/>
  <c r="G29" i="4"/>
  <c r="D9" i="4" l="1"/>
  <c r="D8" i="4" s="1"/>
  <c r="E9" i="4"/>
  <c r="E8" i="4" s="1"/>
  <c r="F9" i="4"/>
  <c r="F8" i="4" s="1"/>
  <c r="G9" i="4"/>
  <c r="G8" i="4" s="1"/>
  <c r="C11" i="4"/>
  <c r="C12" i="4"/>
  <c r="C13" i="4"/>
  <c r="C10" i="4"/>
  <c r="C8" i="4" l="1"/>
  <c r="C9" i="4"/>
  <c r="C7" i="4"/>
  <c r="H27" i="3" l="1"/>
  <c r="J26" i="3"/>
  <c r="K26" i="3"/>
  <c r="L26" i="3"/>
  <c r="I26" i="3"/>
  <c r="H7" i="3"/>
  <c r="H14" i="3"/>
  <c r="H16" i="3" l="1"/>
  <c r="C25" i="4" l="1"/>
  <c r="C23" i="4"/>
  <c r="C24" i="4"/>
  <c r="AN9" i="2"/>
  <c r="AJ10" i="2"/>
  <c r="E14" i="4"/>
  <c r="C28" i="4" l="1"/>
  <c r="C26" i="4"/>
  <c r="C22" i="4"/>
  <c r="C21" i="4"/>
  <c r="C20" i="4"/>
  <c r="C19" i="4"/>
  <c r="G18" i="4"/>
  <c r="F18" i="4"/>
  <c r="E18" i="4"/>
  <c r="D18" i="4"/>
  <c r="C16" i="4"/>
  <c r="C15" i="4"/>
  <c r="G14" i="4"/>
  <c r="F14" i="4"/>
  <c r="H25" i="3"/>
  <c r="H26" i="3" s="1"/>
  <c r="H23" i="3"/>
  <c r="H22" i="3"/>
  <c r="H21" i="3"/>
  <c r="H20" i="3"/>
  <c r="H19" i="3"/>
  <c r="H18" i="3"/>
  <c r="L17" i="3"/>
  <c r="K17" i="3"/>
  <c r="J17" i="3"/>
  <c r="I17" i="3"/>
  <c r="K13" i="3"/>
  <c r="J13" i="3"/>
  <c r="I13" i="3"/>
  <c r="H12" i="3"/>
  <c r="H11" i="3"/>
  <c r="H10" i="3"/>
  <c r="L9" i="3"/>
  <c r="K9" i="3"/>
  <c r="J9" i="3"/>
  <c r="C18" i="4" l="1"/>
  <c r="H9" i="3"/>
  <c r="H15" i="3"/>
  <c r="L13" i="3"/>
  <c r="H17" i="3"/>
  <c r="H13" i="3"/>
  <c r="C14" i="4"/>
  <c r="C17" i="4"/>
  <c r="C29" i="4" s="1"/>
  <c r="C11" i="3"/>
  <c r="C12" i="3"/>
  <c r="C10" i="3"/>
  <c r="C9" i="3" s="1"/>
  <c r="E9" i="3"/>
  <c r="F9" i="3"/>
  <c r="G9" i="3"/>
  <c r="H8" i="3" l="1"/>
  <c r="E13" i="3"/>
  <c r="D13" i="3"/>
  <c r="G15" i="3"/>
  <c r="G13" i="3" s="1"/>
  <c r="F15" i="3"/>
  <c r="F13" i="3" s="1"/>
  <c r="E16" i="3"/>
  <c r="E8" i="3" s="1"/>
  <c r="E7" i="3" s="1"/>
  <c r="F16" i="3"/>
  <c r="G16" i="3"/>
  <c r="D16" i="3"/>
  <c r="AP24" i="2"/>
  <c r="AO24" i="2"/>
  <c r="AN24" i="2"/>
  <c r="AM24" i="2"/>
  <c r="AL26" i="2"/>
  <c r="AI10" i="2"/>
  <c r="AI9" i="2" s="1"/>
  <c r="AJ9" i="2"/>
  <c r="AK12" i="2"/>
  <c r="AG12" i="2" s="1"/>
  <c r="AN7" i="2"/>
  <c r="AG11" i="2"/>
  <c r="AH9" i="2"/>
  <c r="AL10" i="2"/>
  <c r="AO9" i="2"/>
  <c r="AO7" i="2" s="1"/>
  <c r="AM9" i="2"/>
  <c r="AM7" i="2" s="1"/>
  <c r="AL11" i="2"/>
  <c r="AK9" i="2" l="1"/>
  <c r="AN27" i="2"/>
  <c r="AO27" i="2"/>
  <c r="AM27" i="2"/>
  <c r="AG10" i="2"/>
  <c r="AG9" i="2"/>
  <c r="AG8" i="2" l="1"/>
  <c r="G17" i="3" l="1"/>
  <c r="F17" i="3"/>
  <c r="E17" i="3"/>
  <c r="D17" i="3"/>
  <c r="C21" i="3"/>
  <c r="C22" i="3"/>
  <c r="AL25" i="2" l="1"/>
  <c r="AL24" i="2" s="1"/>
  <c r="AG22" i="2" l="1"/>
  <c r="AL22" i="2"/>
  <c r="AL21" i="2"/>
  <c r="AG21" i="2"/>
  <c r="AP14" i="2"/>
  <c r="AO14" i="2"/>
  <c r="AN14" i="2"/>
  <c r="AM14" i="2"/>
  <c r="G8" i="3" l="1"/>
  <c r="G7" i="3" s="1"/>
  <c r="F8" i="3"/>
  <c r="F7" i="3" s="1"/>
  <c r="D8" i="3"/>
  <c r="D7" i="3" s="1"/>
  <c r="C23" i="3"/>
  <c r="C20" i="3"/>
  <c r="C19" i="3"/>
  <c r="C18" i="3"/>
  <c r="C16" i="3"/>
  <c r="C15" i="3"/>
  <c r="C14" i="3"/>
  <c r="AL23" i="2"/>
  <c r="AL19" i="2"/>
  <c r="AN17" i="2"/>
  <c r="AM17" i="2"/>
  <c r="AL16" i="2"/>
  <c r="AL15" i="2"/>
  <c r="AL14" i="2"/>
  <c r="AP13" i="2"/>
  <c r="AO13" i="2"/>
  <c r="AN13" i="2"/>
  <c r="AM13" i="2"/>
  <c r="C17" i="3" l="1"/>
  <c r="D26" i="3"/>
  <c r="E26" i="3"/>
  <c r="F26" i="3"/>
  <c r="AL8" i="2"/>
  <c r="G26" i="3"/>
  <c r="C25" i="3"/>
  <c r="C13" i="3"/>
  <c r="AO17" i="2"/>
  <c r="AP17" i="2"/>
  <c r="AL18" i="2"/>
  <c r="AL20" i="2"/>
  <c r="AL13" i="2"/>
  <c r="AL14" i="1"/>
  <c r="AL27" i="2" l="1"/>
  <c r="C8" i="3"/>
  <c r="AL12" i="2"/>
  <c r="AL9" i="2" s="1"/>
  <c r="AL7" i="2" s="1"/>
  <c r="AP9" i="2"/>
  <c r="AP7" i="2" s="1"/>
  <c r="AP27" i="2" s="1"/>
  <c r="AL17" i="2"/>
  <c r="AK16" i="1"/>
  <c r="AL15" i="1"/>
  <c r="AF27" i="2"/>
  <c r="AD27" i="2"/>
  <c r="AC27" i="2"/>
  <c r="AA27" i="2"/>
  <c r="X27" i="2"/>
  <c r="V27" i="2"/>
  <c r="U27" i="2"/>
  <c r="S27" i="2"/>
  <c r="Q27" i="2"/>
  <c r="P27" i="2"/>
  <c r="N27" i="2"/>
  <c r="G27" i="2"/>
  <c r="F27" i="2"/>
  <c r="E27" i="2"/>
  <c r="D27" i="2"/>
  <c r="AK25" i="2"/>
  <c r="AK27" i="2" s="1"/>
  <c r="AJ25" i="2"/>
  <c r="AJ27" i="2" s="1"/>
  <c r="AI25" i="2"/>
  <c r="AI27" i="2" s="1"/>
  <c r="AH25" i="2"/>
  <c r="AH27" i="2" s="1"/>
  <c r="AE25" i="2"/>
  <c r="AE27" i="2" s="1"/>
  <c r="Z25" i="2"/>
  <c r="Z27" i="2" s="1"/>
  <c r="AJ23" i="2"/>
  <c r="AG23" i="2" s="1"/>
  <c r="AJ20" i="2"/>
  <c r="AG20" i="2" s="1"/>
  <c r="AK19" i="2"/>
  <c r="AG19" i="2" s="1"/>
  <c r="AK18" i="2"/>
  <c r="AG18" i="2" s="1"/>
  <c r="AI17" i="2"/>
  <c r="AH17" i="2"/>
  <c r="AG16" i="2"/>
  <c r="AB16" i="2"/>
  <c r="W16" i="2"/>
  <c r="R16" i="2"/>
  <c r="M16" i="2"/>
  <c r="H16" i="2"/>
  <c r="C16" i="2"/>
  <c r="AG15" i="2"/>
  <c r="AB15" i="2"/>
  <c r="W15" i="2"/>
  <c r="R15" i="2"/>
  <c r="M15" i="2"/>
  <c r="H15" i="2"/>
  <c r="G15" i="2"/>
  <c r="F15" i="2"/>
  <c r="AG14" i="2"/>
  <c r="AF14" i="2"/>
  <c r="AE14" i="2"/>
  <c r="AC14" i="2"/>
  <c r="W14" i="2"/>
  <c r="R14" i="2"/>
  <c r="M14" i="2"/>
  <c r="H14" i="2"/>
  <c r="C14" i="2"/>
  <c r="AK13" i="2"/>
  <c r="AJ13" i="2"/>
  <c r="AI13" i="2"/>
  <c r="AH13" i="2"/>
  <c r="AB8" i="2"/>
  <c r="W8" i="2"/>
  <c r="R8" i="2"/>
  <c r="H8" i="2"/>
  <c r="AG7" i="2"/>
  <c r="AF7" i="2"/>
  <c r="AE7" i="2"/>
  <c r="AD7" i="2"/>
  <c r="AC7" i="2"/>
  <c r="AB7" i="2" s="1"/>
  <c r="AB29" i="2" s="1"/>
  <c r="C26" i="3" l="1"/>
  <c r="C7" i="3"/>
  <c r="H25" i="2"/>
  <c r="H27" i="2" s="1"/>
  <c r="AG17" i="2"/>
  <c r="C15" i="2"/>
  <c r="C25" i="2" s="1"/>
  <c r="C27" i="2" s="1"/>
  <c r="AJ17" i="2"/>
  <c r="AK17" i="2"/>
  <c r="M25" i="2"/>
  <c r="M27" i="2" s="1"/>
  <c r="AG13" i="2"/>
  <c r="R25" i="2"/>
  <c r="R27" i="2" s="1"/>
  <c r="AG25" i="2"/>
  <c r="AG27" i="2" s="1"/>
  <c r="AB14" i="2"/>
  <c r="AB25" i="2" s="1"/>
  <c r="AB27" i="2" s="1"/>
  <c r="W25" i="2"/>
  <c r="W27" i="2" s="1"/>
  <c r="AG3" i="2" l="1"/>
  <c r="AP16" i="1"/>
  <c r="AP13" i="1" s="1"/>
  <c r="AQ15" i="1"/>
  <c r="AM15" i="1" s="1"/>
  <c r="AQ14" i="1"/>
  <c r="AO13" i="1"/>
  <c r="AN13" i="1"/>
  <c r="AK13" i="1"/>
  <c r="AJ13" i="1"/>
  <c r="AI13" i="1"/>
  <c r="AH16" i="1"/>
  <c r="AH15" i="1"/>
  <c r="AQ13" i="1" l="1"/>
  <c r="AM14" i="1"/>
  <c r="AM16" i="1"/>
  <c r="AL13" i="1"/>
  <c r="AH14" i="1"/>
  <c r="AH13" i="1" s="1"/>
  <c r="AM13" i="1" l="1"/>
  <c r="AQ9" i="1"/>
  <c r="AP9" i="1"/>
  <c r="AN9" i="1"/>
  <c r="AI9" i="1"/>
  <c r="AK9" i="1"/>
  <c r="AL9" i="1"/>
  <c r="AQ7" i="1" l="1"/>
  <c r="AP7" i="1"/>
  <c r="AO19" i="1"/>
  <c r="AM8" i="1"/>
  <c r="AH12" i="1" l="1"/>
  <c r="AJ11" i="1"/>
  <c r="AH10" i="1"/>
  <c r="AL8" i="1"/>
  <c r="AK8" i="1"/>
  <c r="AJ8" i="1"/>
  <c r="AI8" i="1"/>
  <c r="AL7" i="1"/>
  <c r="AL19" i="1" s="1"/>
  <c r="AK7" i="1"/>
  <c r="AK19" i="1" s="1"/>
  <c r="AJ7" i="1"/>
  <c r="AJ19" i="1" s="1"/>
  <c r="AI7" i="1"/>
  <c r="AD7" i="1"/>
  <c r="AE7" i="1"/>
  <c r="AF7" i="1"/>
  <c r="AG7" i="1"/>
  <c r="I8" i="1"/>
  <c r="S8" i="1"/>
  <c r="X8" i="1"/>
  <c r="AC8" i="1"/>
  <c r="D10" i="1"/>
  <c r="I10" i="1"/>
  <c r="N10" i="1"/>
  <c r="S10" i="1"/>
  <c r="X10" i="1"/>
  <c r="AD10" i="1"/>
  <c r="AF10" i="1"/>
  <c r="AG10" i="1"/>
  <c r="G11" i="1"/>
  <c r="H11" i="1"/>
  <c r="I11" i="1"/>
  <c r="N11" i="1"/>
  <c r="S11" i="1"/>
  <c r="X11" i="1"/>
  <c r="AC11" i="1"/>
  <c r="AO11" i="1"/>
  <c r="AO9" i="1" s="1"/>
  <c r="D12" i="1"/>
  <c r="I12" i="1"/>
  <c r="N12" i="1"/>
  <c r="S12" i="1"/>
  <c r="X12" i="1"/>
  <c r="AC12" i="1"/>
  <c r="AA18" i="1"/>
  <c r="AA19" i="1" s="1"/>
  <c r="AF18" i="1"/>
  <c r="AF19" i="1" s="1"/>
  <c r="E19" i="1"/>
  <c r="F19" i="1"/>
  <c r="G19" i="1"/>
  <c r="H19" i="1"/>
  <c r="O19" i="1"/>
  <c r="Q19" i="1"/>
  <c r="R19" i="1"/>
  <c r="T19" i="1"/>
  <c r="V19" i="1"/>
  <c r="W19" i="1"/>
  <c r="Y19" i="1"/>
  <c r="AB19" i="1"/>
  <c r="AD19" i="1"/>
  <c r="AE19" i="1"/>
  <c r="AG19" i="1"/>
  <c r="AH11" i="1" l="1"/>
  <c r="AH9" i="1" s="1"/>
  <c r="AJ9" i="1"/>
  <c r="AQ19" i="1"/>
  <c r="I18" i="1"/>
  <c r="I19" i="1" s="1"/>
  <c r="N18" i="1"/>
  <c r="N19" i="1" s="1"/>
  <c r="AP19" i="1"/>
  <c r="AH8" i="1"/>
  <c r="AH19" i="1" s="1"/>
  <c r="AN19" i="1"/>
  <c r="X18" i="1"/>
  <c r="X19" i="1" s="1"/>
  <c r="S18" i="1"/>
  <c r="S19" i="1" s="1"/>
  <c r="D11" i="1"/>
  <c r="D18" i="1" s="1"/>
  <c r="D19" i="1" s="1"/>
  <c r="AM10" i="1"/>
  <c r="AM11" i="1"/>
  <c r="AC10" i="1"/>
  <c r="AC18" i="1" s="1"/>
  <c r="AM12" i="1"/>
  <c r="AC7" i="1"/>
  <c r="AC21" i="1" s="1"/>
  <c r="AM7" i="1"/>
  <c r="AH7" i="1"/>
  <c r="AI19" i="1"/>
  <c r="AM9" i="1" l="1"/>
  <c r="AM18" i="1"/>
  <c r="AM19" i="1" s="1"/>
  <c r="AC19" i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AL4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из формы №46- годовая</t>
        </r>
      </text>
    </comment>
  </commentList>
</comments>
</file>

<file path=xl/comments2.xml><?xml version="1.0" encoding="utf-8"?>
<comments xmlns="http://schemas.openxmlformats.org/spreadsheetml/2006/main">
  <authors>
    <author>Дергач Виктория Владимировна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Объем, учтенный МТП в тарифном регулировании 2019 г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Учитывается в объеме нижестоящих сетевых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Учитывается в объеме нижестоящих сетевых</t>
        </r>
      </text>
    </comment>
  </commentList>
</comments>
</file>

<file path=xl/comments3.xml><?xml version="1.0" encoding="utf-8"?>
<comments xmlns="http://schemas.openxmlformats.org/spreadsheetml/2006/main">
  <authors>
    <author>Субуханкулова Наталья Викторовна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Субуханкулова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объем учитывается в пункте 1.2.1 и 1.2.2</t>
        </r>
      </text>
    </comment>
  </commentList>
</comments>
</file>

<file path=xl/sharedStrings.xml><?xml version="1.0" encoding="utf-8"?>
<sst xmlns="http://schemas.openxmlformats.org/spreadsheetml/2006/main" count="372" uniqueCount="71">
  <si>
    <t>% (от отпуска в сеть за минусом объема собственного потребления)</t>
  </si>
  <si>
    <t>МВт*час (без учета потерь собственного потребления)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</si>
  <si>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ценообразования:</t>
  </si>
  <si>
    <t>─Собственное потребление ООО "КрасКом", МВт*ч</t>
  </si>
  <si>
    <t>─Отпуск из сети в смежные сетевые организации, МВт*ч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</si>
  <si>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 и территориальным сетевым организациям, присоединенным к сетям сетевой организации:</t>
  </si>
  <si>
    <t>НН</t>
  </si>
  <si>
    <t>СН2</t>
  </si>
  <si>
    <t>СН1</t>
  </si>
  <si>
    <t>ВН</t>
  </si>
  <si>
    <t>Всего</t>
  </si>
  <si>
    <t>ФАКТ 2015 г</t>
  </si>
  <si>
    <t>ПЛАН 2015 г</t>
  </si>
  <si>
    <t>ФАКТ 2014 г</t>
  </si>
  <si>
    <t>ПЛАН 2014 г</t>
  </si>
  <si>
    <t>ФАКТ 2013 г</t>
  </si>
  <si>
    <t>ПЛАН 2013 г</t>
  </si>
  <si>
    <t>Наименование информации</t>
  </si>
  <si>
    <t>№ п/п</t>
  </si>
  <si>
    <t>ПЛАН 2017 г</t>
  </si>
  <si>
    <t>─Отпуск электроэнергии абонентам ПАО "Красноярскэнергосбыт", МВт*ч</t>
  </si>
  <si>
    <t>ФАКТ 2017 г</t>
  </si>
  <si>
    <t xml:space="preserve">п. 11, подпункт "б", абзац 2: О балансе электрической энергии и мощности, </t>
  </si>
  <si>
    <t>в том числе:</t>
  </si>
  <si>
    <t>Номер пункта, подпункта, абзаца Стандартов</t>
  </si>
  <si>
    <t>п. 11, подпункт "б", абзац 3</t>
  </si>
  <si>
    <t>п. 11, подпункт "б", абзац 4</t>
  </si>
  <si>
    <t>п. 11, подпункт "б", абзац 5</t>
  </si>
  <si>
    <t>ПЛАН 2018 г</t>
  </si>
  <si>
    <t>ООО "ЕнисейСетьСервис"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</si>
  <si>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МВт*ч:</t>
  </si>
  <si>
    <t>ООО "Русэнергосбыт Сибирь"</t>
  </si>
  <si>
    <t>ООО "Энергия Сибири"</t>
  </si>
  <si>
    <t>-</t>
  </si>
  <si>
    <t>АО "РУСАЛ Красноярск"</t>
  </si>
  <si>
    <r>
      <rPr>
        <b/>
        <sz val="14"/>
        <rFont val="Times New Roman"/>
        <family val="1"/>
        <charset val="204"/>
      </rPr>
      <t>▪</t>
    </r>
    <r>
      <rPr>
        <b/>
        <i/>
        <sz val="11.5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поступление электроэнергии в сеть ООО "КрасКом" всего (с учетом перетока из смежной сети), МВт*ч, в том числе:</t>
    </r>
  </si>
  <si>
    <t>▪ отпуск электроэнергии из сетей ООО "КрасКом", в том числе:</t>
  </si>
  <si>
    <t>▪▪ поступление электроэнергии в сеть ООО "КрасКом" от других организаций, МВт*ч</t>
  </si>
  <si>
    <t>1.1</t>
  </si>
  <si>
    <t>1.1.1</t>
  </si>
  <si>
    <t>1.2</t>
  </si>
  <si>
    <t>3.1</t>
  </si>
  <si>
    <t>1.2.1</t>
  </si>
  <si>
    <t>1.2.2</t>
  </si>
  <si>
    <t>3.2</t>
  </si>
  <si>
    <t>ФАКТ 2018 г</t>
  </si>
  <si>
    <t xml:space="preserve">п. 19, подпункт "г", абзац 2: О балансе электрической энергии и мощности, </t>
  </si>
  <si>
    <t>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 и территориальным сетевым организациям, присоединенным к сетям сетевой организации:</t>
  </si>
  <si>
    <t>ПЛАН 2019 г</t>
  </si>
  <si>
    <t>ООО "РУСЭНЕРГОРЕСУРС"</t>
  </si>
  <si>
    <t>ООО "ПрофСервисТрейд"</t>
  </si>
  <si>
    <t>ООО "Сетевая территориальная компания"</t>
  </si>
  <si>
    <t>АО "Атомэнергопромсбыт"</t>
  </si>
  <si>
    <t>1.1.2</t>
  </si>
  <si>
    <t>▪▪▪  поступление электроэнергии в сеть ООО "КрасКом" из других уровней напряжения, МВт*ч:</t>
  </si>
  <si>
    <t>Нормативные потери электрической энергии в сетях ООО "КрасКом", МВт*час (без учета потерь собственного потребления)</t>
  </si>
  <si>
    <t>Фактические потери электрической энергии в электрических сетях ООО "КрасКом", МВт*час</t>
  </si>
  <si>
    <t>3.3</t>
  </si>
  <si>
    <t>1.3</t>
  </si>
  <si>
    <t>ФАКТ 2019 г</t>
  </si>
  <si>
    <t>─Отпуск электроэнергии абонентам (ПАО "Красноярскэнергосбыт" и энергосбытовые организации) , МВт*ч</t>
  </si>
  <si>
    <t>ОАО "Красноярская ТЭЦ-1"</t>
  </si>
  <si>
    <t>ООО "ГлавЭнергоСбыт"</t>
  </si>
  <si>
    <t>ООО "КрасЭлектроСеть"</t>
  </si>
  <si>
    <t>ООО "Золото Финанс"</t>
  </si>
  <si>
    <t>4</t>
  </si>
  <si>
    <t>Сверхнормативные потери</t>
  </si>
  <si>
    <t>─Отпуск электроэнергии (абонентам ПАО "Красноярскэнергосбыт" и энергосбытовым компаниям), МВт*ч</t>
  </si>
  <si>
    <r>
      <rPr>
        <b/>
        <sz val="14"/>
        <rFont val="Times New Roman"/>
        <family val="1"/>
        <charset val="204"/>
      </rPr>
      <t>▪</t>
    </r>
    <r>
      <rPr>
        <b/>
        <i/>
        <sz val="11.5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поступление электроэнергии в сеть ООО "КрасКом" всего (с учетом перетока из смежной сети и объема собственного поьребления), МВт*ч, в том числе:</t>
    </r>
  </si>
  <si>
    <t>ПЛАН 2023 г.</t>
  </si>
  <si>
    <t>ФАКТ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</si>
</sst>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"/>
    <numFmt numFmtId="165" formatCode="#,##0.0000"/>
    <numFmt numFmtId="166" formatCode="_-* #,##0.00[$€-1]_-;\-* #,##0.00[$€-1]_-;_-* &quot;-&quot;??[$€-1]_-"/>
    <numFmt numFmtId="167" formatCode="&quot;$&quot;#,##0_);[Red]\(&quot;$&quot;#,##0\)"/>
    <numFmt numFmtId="168" formatCode="0.00000"/>
    <numFmt numFmtId="169" formatCode="0.000%"/>
    <numFmt numFmtId="170" formatCode="0.000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indexed="11"/>
      <name val="Tahoma"/>
      <family val="2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i/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2" fillId="0" borderId="0"/>
    <xf numFmtId="0" fontId="7" fillId="0" borderId="0"/>
    <xf numFmtId="166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37" applyNumberFormat="0" applyAlignment="0">
      <protection locked="0"/>
    </xf>
    <xf numFmtId="167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3" borderId="37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4" borderId="38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Border="0">
      <alignment horizontal="center" vertical="center" wrapText="1"/>
    </xf>
    <xf numFmtId="0" fontId="21" fillId="0" borderId="36" applyBorder="0">
      <alignment horizontal="center" vertical="center" wrapText="1"/>
    </xf>
    <xf numFmtId="49" fontId="22" fillId="0" borderId="0" applyBorder="0">
      <alignment vertical="top"/>
    </xf>
    <xf numFmtId="0" fontId="1" fillId="0" borderId="0"/>
    <xf numFmtId="0" fontId="1" fillId="0" borderId="0"/>
    <xf numFmtId="0" fontId="23" fillId="5" borderId="0" applyNumberFormat="0" applyBorder="0" applyAlignment="0">
      <alignment horizontal="left" vertical="center"/>
    </xf>
    <xf numFmtId="49" fontId="22" fillId="5" borderId="0" applyBorder="0">
      <alignment vertical="top"/>
    </xf>
  </cellStyleXfs>
  <cellXfs count="311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justify" vertical="top" wrapText="1"/>
    </xf>
    <xf numFmtId="0" fontId="3" fillId="0" borderId="0" xfId="1" applyFont="1" applyBorder="1" applyAlignment="1">
      <alignment vertical="top" wrapText="1"/>
    </xf>
    <xf numFmtId="164" fontId="3" fillId="0" borderId="0" xfId="1" applyNumberFormat="1" applyFont="1" applyBorder="1"/>
    <xf numFmtId="3" fontId="4" fillId="0" borderId="0" xfId="1" applyNumberFormat="1" applyFont="1"/>
    <xf numFmtId="3" fontId="4" fillId="0" borderId="0" xfId="1" applyNumberFormat="1" applyFont="1" applyBorder="1"/>
    <xf numFmtId="10" fontId="5" fillId="0" borderId="1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10" fontId="6" fillId="0" borderId="2" xfId="1" applyNumberFormat="1" applyFont="1" applyBorder="1" applyAlignment="1">
      <alignment horizontal="center"/>
    </xf>
    <xf numFmtId="0" fontId="5" fillId="0" borderId="4" xfId="1" applyFont="1" applyBorder="1" applyAlignment="1">
      <alignment wrapText="1"/>
    </xf>
    <xf numFmtId="164" fontId="3" fillId="0" borderId="5" xfId="1" applyNumberFormat="1" applyFont="1" applyFill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 wrapText="1"/>
    </xf>
    <xf numFmtId="164" fontId="5" fillId="0" borderId="6" xfId="1" applyNumberFormat="1" applyFont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5" fontId="6" fillId="0" borderId="7" xfId="1" applyNumberFormat="1" applyFont="1" applyFill="1" applyBorder="1" applyAlignment="1">
      <alignment horizontal="center"/>
    </xf>
    <xf numFmtId="165" fontId="6" fillId="0" borderId="8" xfId="1" applyNumberFormat="1" applyFont="1" applyFill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5" fillId="0" borderId="8" xfId="1" applyFont="1" applyBorder="1" applyAlignment="1">
      <alignment wrapText="1"/>
    </xf>
    <xf numFmtId="164" fontId="6" fillId="0" borderId="9" xfId="1" applyNumberFormat="1" applyFont="1" applyFill="1" applyBorder="1" applyAlignment="1">
      <alignment horizontal="center"/>
    </xf>
    <xf numFmtId="164" fontId="6" fillId="0" borderId="10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 wrapText="1"/>
    </xf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0" fontId="5" fillId="0" borderId="12" xfId="1" applyFont="1" applyFill="1" applyBorder="1" applyAlignment="1">
      <alignment horizontal="justify" wrapText="1"/>
    </xf>
    <xf numFmtId="164" fontId="5" fillId="0" borderId="15" xfId="1" applyNumberFormat="1" applyFont="1" applyFill="1" applyBorder="1" applyAlignment="1">
      <alignment horizontal="center" wrapText="1"/>
    </xf>
    <xf numFmtId="164" fontId="6" fillId="0" borderId="13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0" fontId="6" fillId="0" borderId="16" xfId="1" applyFont="1" applyFill="1" applyBorder="1" applyAlignment="1">
      <alignment wrapText="1"/>
    </xf>
    <xf numFmtId="164" fontId="5" fillId="0" borderId="15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 applyProtection="1">
      <alignment horizontal="center"/>
    </xf>
    <xf numFmtId="164" fontId="6" fillId="0" borderId="20" xfId="1" applyNumberFormat="1" applyFont="1" applyBorder="1" applyAlignment="1">
      <alignment horizontal="center"/>
    </xf>
    <xf numFmtId="164" fontId="6" fillId="0" borderId="19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3" fontId="6" fillId="0" borderId="14" xfId="1" applyNumberFormat="1" applyFont="1" applyFill="1" applyBorder="1" applyAlignment="1" applyProtection="1">
      <alignment horizontal="center"/>
    </xf>
    <xf numFmtId="164" fontId="6" fillId="0" borderId="21" xfId="1" applyNumberFormat="1" applyFont="1" applyFill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164" fontId="6" fillId="0" borderId="23" xfId="1" applyNumberFormat="1" applyFont="1" applyFill="1" applyBorder="1" applyAlignment="1">
      <alignment horizontal="center"/>
    </xf>
    <xf numFmtId="164" fontId="6" fillId="0" borderId="24" xfId="1" applyNumberFormat="1" applyFont="1" applyFill="1" applyBorder="1" applyAlignment="1">
      <alignment horizontal="center"/>
    </xf>
    <xf numFmtId="3" fontId="6" fillId="0" borderId="23" xfId="1" applyNumberFormat="1" applyFont="1" applyFill="1" applyBorder="1" applyAlignment="1">
      <alignment horizontal="center"/>
    </xf>
    <xf numFmtId="3" fontId="6" fillId="0" borderId="24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wrapText="1"/>
    </xf>
    <xf numFmtId="164" fontId="6" fillId="0" borderId="5" xfId="1" applyNumberFormat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center"/>
    </xf>
    <xf numFmtId="3" fontId="6" fillId="0" borderId="5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6" fillId="0" borderId="25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6" fillId="0" borderId="26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165" fontId="6" fillId="0" borderId="23" xfId="1" applyNumberFormat="1" applyFont="1" applyBorder="1" applyAlignment="1">
      <alignment horizontal="center"/>
    </xf>
    <xf numFmtId="165" fontId="6" fillId="0" borderId="24" xfId="1" applyNumberFormat="1" applyFont="1" applyBorder="1" applyAlignment="1">
      <alignment horizontal="center"/>
    </xf>
    <xf numFmtId="165" fontId="5" fillId="0" borderId="18" xfId="1" applyNumberFormat="1" applyFont="1" applyFill="1" applyBorder="1" applyAlignment="1">
      <alignment horizontal="center"/>
    </xf>
    <xf numFmtId="0" fontId="5" fillId="0" borderId="17" xfId="1" applyFont="1" applyFill="1" applyBorder="1" applyAlignment="1">
      <alignment wrapText="1"/>
    </xf>
    <xf numFmtId="164" fontId="6" fillId="0" borderId="16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3" fontId="3" fillId="0" borderId="6" xfId="1" applyNumberFormat="1" applyFont="1" applyFill="1" applyBorder="1" applyAlignment="1">
      <alignment horizontal="center" wrapText="1"/>
    </xf>
    <xf numFmtId="0" fontId="3" fillId="0" borderId="22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13" xfId="1" applyFont="1" applyFill="1" applyBorder="1" applyAlignment="1">
      <alignment wrapText="1"/>
    </xf>
    <xf numFmtId="0" fontId="3" fillId="0" borderId="27" xfId="1" applyFont="1" applyFill="1" applyBorder="1" applyAlignment="1">
      <alignment horizontal="center"/>
    </xf>
    <xf numFmtId="164" fontId="3" fillId="0" borderId="28" xfId="1" applyNumberFormat="1" applyFont="1" applyFill="1" applyBorder="1" applyAlignment="1">
      <alignment horizontal="center" wrapText="1"/>
    </xf>
    <xf numFmtId="0" fontId="3" fillId="0" borderId="27" xfId="1" applyFont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3" fontId="3" fillId="0" borderId="28" xfId="1" applyNumberFormat="1" applyFont="1" applyFill="1" applyBorder="1" applyAlignment="1">
      <alignment horizontal="center" wrapText="1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3" fontId="3" fillId="0" borderId="18" xfId="1" applyNumberFormat="1" applyFont="1" applyFill="1" applyBorder="1" applyAlignment="1">
      <alignment horizontal="center" wrapText="1"/>
    </xf>
    <xf numFmtId="0" fontId="5" fillId="0" borderId="29" xfId="1" applyFont="1" applyFill="1" applyBorder="1" applyAlignment="1">
      <alignment wrapText="1"/>
    </xf>
    <xf numFmtId="0" fontId="5" fillId="0" borderId="3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164" fontId="6" fillId="2" borderId="25" xfId="1" applyNumberFormat="1" applyFont="1" applyFill="1" applyBorder="1" applyAlignment="1">
      <alignment horizontal="center"/>
    </xf>
    <xf numFmtId="164" fontId="6" fillId="2" borderId="26" xfId="1" applyNumberFormat="1" applyFont="1" applyFill="1" applyBorder="1" applyAlignment="1">
      <alignment horizontal="center"/>
    </xf>
    <xf numFmtId="10" fontId="5" fillId="0" borderId="3" xfId="1" applyNumberFormat="1" applyFont="1" applyFill="1" applyBorder="1" applyAlignment="1">
      <alignment horizontal="center"/>
    </xf>
    <xf numFmtId="10" fontId="5" fillId="0" borderId="2" xfId="1" applyNumberFormat="1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0" fontId="3" fillId="6" borderId="0" xfId="1" applyFont="1" applyFill="1" applyBorder="1"/>
    <xf numFmtId="0" fontId="24" fillId="0" borderId="0" xfId="1" applyFont="1" applyAlignment="1">
      <alignment horizontal="left"/>
    </xf>
    <xf numFmtId="0" fontId="25" fillId="0" borderId="0" xfId="1" applyFont="1"/>
    <xf numFmtId="0" fontId="26" fillId="0" borderId="0" xfId="1" applyFont="1"/>
    <xf numFmtId="0" fontId="3" fillId="0" borderId="0" xfId="1" applyFont="1" applyBorder="1" applyAlignment="1">
      <alignment horizontal="center" vertical="top" wrapText="1"/>
    </xf>
    <xf numFmtId="0" fontId="3" fillId="0" borderId="40" xfId="1" applyFont="1" applyBorder="1" applyAlignment="1">
      <alignment horizontal="center" vertical="top" wrapText="1"/>
    </xf>
    <xf numFmtId="0" fontId="3" fillId="0" borderId="41" xfId="1" applyFont="1" applyFill="1" applyBorder="1" applyAlignment="1">
      <alignment horizontal="center" vertical="top" wrapText="1"/>
    </xf>
    <xf numFmtId="0" fontId="3" fillId="0" borderId="39" xfId="1" applyFont="1" applyBorder="1" applyAlignment="1">
      <alignment vertical="top" wrapText="1"/>
    </xf>
    <xf numFmtId="164" fontId="5" fillId="8" borderId="15" xfId="1" applyNumberFormat="1" applyFont="1" applyFill="1" applyBorder="1" applyAlignment="1">
      <alignment horizontal="center"/>
    </xf>
    <xf numFmtId="164" fontId="6" fillId="8" borderId="19" xfId="1" applyNumberFormat="1" applyFont="1" applyFill="1" applyBorder="1" applyAlignment="1">
      <alignment horizontal="center"/>
    </xf>
    <xf numFmtId="164" fontId="5" fillId="9" borderId="43" xfId="1" applyNumberFormat="1" applyFont="1" applyFill="1" applyBorder="1" applyAlignment="1">
      <alignment horizontal="center"/>
    </xf>
    <xf numFmtId="164" fontId="6" fillId="9" borderId="10" xfId="1" applyNumberFormat="1" applyFont="1" applyFill="1" applyBorder="1" applyAlignment="1">
      <alignment horizontal="center"/>
    </xf>
    <xf numFmtId="164" fontId="6" fillId="9" borderId="44" xfId="1" applyNumberFormat="1" applyFont="1" applyFill="1" applyBorder="1" applyAlignment="1">
      <alignment horizontal="center"/>
    </xf>
    <xf numFmtId="164" fontId="5" fillId="10" borderId="43" xfId="1" applyNumberFormat="1" applyFont="1" applyFill="1" applyBorder="1" applyAlignment="1">
      <alignment horizontal="center"/>
    </xf>
    <xf numFmtId="164" fontId="6" fillId="10" borderId="10" xfId="1" applyNumberFormat="1" applyFont="1" applyFill="1" applyBorder="1" applyAlignment="1">
      <alignment horizontal="center"/>
    </xf>
    <xf numFmtId="164" fontId="6" fillId="10" borderId="44" xfId="1" applyNumberFormat="1" applyFont="1" applyFill="1" applyBorder="1" applyAlignment="1">
      <alignment horizontal="center"/>
    </xf>
    <xf numFmtId="164" fontId="6" fillId="7" borderId="19" xfId="1" applyNumberFormat="1" applyFont="1" applyFill="1" applyBorder="1" applyAlignment="1">
      <alignment horizontal="center"/>
    </xf>
    <xf numFmtId="164" fontId="6" fillId="7" borderId="20" xfId="1" applyNumberFormat="1" applyFont="1" applyFill="1" applyBorder="1" applyAlignment="1">
      <alignment horizontal="center"/>
    </xf>
    <xf numFmtId="164" fontId="5" fillId="11" borderId="15" xfId="1" applyNumberFormat="1" applyFont="1" applyFill="1" applyBorder="1" applyAlignment="1">
      <alignment horizontal="center"/>
    </xf>
    <xf numFmtId="164" fontId="6" fillId="11" borderId="19" xfId="1" applyNumberFormat="1" applyFont="1" applyFill="1" applyBorder="1" applyAlignment="1">
      <alignment horizontal="center"/>
    </xf>
    <xf numFmtId="164" fontId="6" fillId="11" borderId="20" xfId="1" applyNumberFormat="1" applyFont="1" applyFill="1" applyBorder="1" applyAlignment="1">
      <alignment horizontal="center"/>
    </xf>
    <xf numFmtId="164" fontId="6" fillId="12" borderId="19" xfId="1" applyNumberFormat="1" applyFont="1" applyFill="1" applyBorder="1" applyAlignment="1">
      <alignment horizontal="center"/>
    </xf>
    <xf numFmtId="164" fontId="6" fillId="12" borderId="20" xfId="1" applyNumberFormat="1" applyFont="1" applyFill="1" applyBorder="1" applyAlignment="1">
      <alignment horizontal="center"/>
    </xf>
    <xf numFmtId="164" fontId="5" fillId="12" borderId="18" xfId="1" applyNumberFormat="1" applyFont="1" applyFill="1" applyBorder="1" applyAlignment="1">
      <alignment horizontal="center"/>
    </xf>
    <xf numFmtId="164" fontId="5" fillId="7" borderId="15" xfId="1" applyNumberFormat="1" applyFont="1" applyFill="1" applyBorder="1" applyAlignment="1">
      <alignment horizontal="center" wrapText="1"/>
    </xf>
    <xf numFmtId="164" fontId="5" fillId="13" borderId="15" xfId="1" applyNumberFormat="1" applyFont="1" applyFill="1" applyBorder="1" applyAlignment="1">
      <alignment horizontal="center" wrapText="1"/>
    </xf>
    <xf numFmtId="164" fontId="6" fillId="13" borderId="19" xfId="1" applyNumberFormat="1" applyFont="1" applyFill="1" applyBorder="1" applyAlignment="1">
      <alignment horizontal="center"/>
    </xf>
    <xf numFmtId="164" fontId="6" fillId="13" borderId="20" xfId="1" applyNumberFormat="1" applyFont="1" applyFill="1" applyBorder="1" applyAlignment="1">
      <alignment horizontal="center"/>
    </xf>
    <xf numFmtId="0" fontId="27" fillId="0" borderId="0" xfId="1" applyFont="1" applyAlignment="1">
      <alignment horizontal="left"/>
    </xf>
    <xf numFmtId="0" fontId="5" fillId="0" borderId="12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wrapText="1"/>
    </xf>
    <xf numFmtId="164" fontId="5" fillId="0" borderId="22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/>
    </xf>
    <xf numFmtId="164" fontId="6" fillId="0" borderId="44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wrapText="1"/>
    </xf>
    <xf numFmtId="164" fontId="6" fillId="0" borderId="6" xfId="1" applyNumberFormat="1" applyFont="1" applyFill="1" applyBorder="1" applyAlignment="1">
      <alignment horizont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6" fillId="0" borderId="22" xfId="1" applyNumberFormat="1" applyFont="1" applyFill="1" applyBorder="1" applyAlignment="1">
      <alignment horizontal="center" vertical="center" wrapText="1"/>
    </xf>
    <xf numFmtId="164" fontId="6" fillId="0" borderId="24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wrapText="1"/>
    </xf>
    <xf numFmtId="164" fontId="5" fillId="2" borderId="10" xfId="1" applyNumberFormat="1" applyFont="1" applyFill="1" applyBorder="1" applyAlignment="1">
      <alignment horizontal="center" wrapText="1"/>
    </xf>
    <xf numFmtId="164" fontId="5" fillId="2" borderId="41" xfId="1" applyNumberFormat="1" applyFont="1" applyFill="1" applyBorder="1" applyAlignment="1">
      <alignment horizontal="center" wrapText="1"/>
    </xf>
    <xf numFmtId="164" fontId="28" fillId="14" borderId="0" xfId="0" applyNumberFormat="1" applyFont="1" applyFill="1"/>
    <xf numFmtId="164" fontId="5" fillId="15" borderId="11" xfId="1" applyNumberFormat="1" applyFont="1" applyFill="1" applyBorder="1" applyAlignment="1">
      <alignment horizontal="center" wrapText="1"/>
    </xf>
    <xf numFmtId="164" fontId="5" fillId="15" borderId="10" xfId="1" applyNumberFormat="1" applyFont="1" applyFill="1" applyBorder="1" applyAlignment="1">
      <alignment horizontal="center" wrapText="1"/>
    </xf>
    <xf numFmtId="164" fontId="28" fillId="0" borderId="0" xfId="0" applyNumberFormat="1" applyFont="1" applyFill="1"/>
    <xf numFmtId="164" fontId="28" fillId="0" borderId="0" xfId="0" applyNumberFormat="1" applyFont="1" applyFill="1" applyBorder="1" applyAlignment="1"/>
    <xf numFmtId="164" fontId="6" fillId="0" borderId="5" xfId="1" applyNumberFormat="1" applyFont="1" applyFill="1" applyBorder="1" applyAlignment="1">
      <alignment vertical="center" wrapText="1"/>
    </xf>
    <xf numFmtId="164" fontId="6" fillId="0" borderId="22" xfId="1" applyNumberFormat="1" applyFont="1" applyFill="1" applyBorder="1" applyAlignment="1">
      <alignment horizontal="center" wrapText="1"/>
    </xf>
    <xf numFmtId="164" fontId="5" fillId="2" borderId="44" xfId="1" applyNumberFormat="1" applyFont="1" applyFill="1" applyBorder="1" applyAlignment="1">
      <alignment horizontal="center" wrapText="1"/>
    </xf>
    <xf numFmtId="0" fontId="3" fillId="0" borderId="29" xfId="1" applyFont="1" applyFill="1" applyBorder="1" applyAlignment="1">
      <alignment horizontal="center"/>
    </xf>
    <xf numFmtId="164" fontId="6" fillId="8" borderId="20" xfId="1" applyNumberFormat="1" applyFont="1" applyFill="1" applyBorder="1" applyAlignment="1">
      <alignment horizontal="center"/>
    </xf>
    <xf numFmtId="164" fontId="5" fillId="15" borderId="44" xfId="1" applyNumberFormat="1" applyFont="1" applyFill="1" applyBorder="1" applyAlignment="1">
      <alignment horizontal="center" wrapText="1"/>
    </xf>
    <xf numFmtId="49" fontId="3" fillId="0" borderId="6" xfId="1" applyNumberFormat="1" applyFont="1" applyBorder="1" applyAlignment="1">
      <alignment horizontal="left" vertical="top" wrapText="1"/>
    </xf>
    <xf numFmtId="49" fontId="3" fillId="0" borderId="18" xfId="1" applyNumberFormat="1" applyFont="1" applyBorder="1" applyAlignment="1">
      <alignment horizontal="left" vertical="top" wrapText="1"/>
    </xf>
    <xf numFmtId="0" fontId="3" fillId="0" borderId="6" xfId="1" applyFont="1" applyFill="1" applyBorder="1" applyAlignment="1">
      <alignment horizontal="left" vertical="top" wrapText="1"/>
    </xf>
    <xf numFmtId="0" fontId="29" fillId="0" borderId="6" xfId="1" applyFont="1" applyBorder="1" applyAlignment="1">
      <alignment horizontal="left" vertical="top" wrapText="1"/>
    </xf>
    <xf numFmtId="0" fontId="29" fillId="0" borderId="11" xfId="1" applyFont="1" applyFill="1" applyBorder="1" applyAlignment="1">
      <alignment horizontal="left" vertical="top" wrapText="1"/>
    </xf>
    <xf numFmtId="49" fontId="3" fillId="0" borderId="3" xfId="1" applyNumberFormat="1" applyFont="1" applyBorder="1" applyAlignment="1">
      <alignment horizontal="left" vertical="top" wrapText="1"/>
    </xf>
    <xf numFmtId="164" fontId="26" fillId="0" borderId="0" xfId="1" applyNumberFormat="1" applyFont="1"/>
    <xf numFmtId="164" fontId="3" fillId="0" borderId="45" xfId="1" applyNumberFormat="1" applyFont="1" applyFill="1" applyBorder="1" applyAlignment="1">
      <alignment horizontal="center" wrapText="1"/>
    </xf>
    <xf numFmtId="164" fontId="3" fillId="0" borderId="29" xfId="1" applyNumberFormat="1" applyFont="1" applyFill="1" applyBorder="1" applyAlignment="1">
      <alignment horizontal="center" wrapText="1"/>
    </xf>
    <xf numFmtId="164" fontId="3" fillId="0" borderId="46" xfId="1" applyNumberFormat="1" applyFont="1" applyFill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  <xf numFmtId="165" fontId="6" fillId="0" borderId="7" xfId="1" applyNumberFormat="1" applyFont="1" applyBorder="1" applyAlignment="1">
      <alignment horizontal="center"/>
    </xf>
    <xf numFmtId="3" fontId="6" fillId="0" borderId="8" xfId="1" applyNumberFormat="1" applyFont="1" applyFill="1" applyBorder="1" applyAlignment="1">
      <alignment horizontal="center"/>
    </xf>
    <xf numFmtId="164" fontId="5" fillId="2" borderId="47" xfId="1" applyNumberFormat="1" applyFont="1" applyFill="1" applyBorder="1" applyAlignment="1">
      <alignment horizontal="center"/>
    </xf>
    <xf numFmtId="164" fontId="6" fillId="2" borderId="21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5" fillId="0" borderId="23" xfId="1" applyFont="1" applyFill="1" applyBorder="1" applyAlignment="1">
      <alignment wrapText="1"/>
    </xf>
    <xf numFmtId="0" fontId="5" fillId="0" borderId="9" xfId="1" applyFont="1" applyFill="1" applyBorder="1" applyAlignment="1">
      <alignment wrapText="1"/>
    </xf>
    <xf numFmtId="0" fontId="5" fillId="0" borderId="7" xfId="1" applyFont="1" applyFill="1" applyBorder="1" applyAlignment="1">
      <alignment wrapText="1"/>
    </xf>
    <xf numFmtId="164" fontId="6" fillId="2" borderId="0" xfId="1" applyNumberFormat="1" applyFont="1" applyFill="1" applyBorder="1" applyAlignment="1">
      <alignment horizontal="center"/>
    </xf>
    <xf numFmtId="164" fontId="6" fillId="2" borderId="47" xfId="1" applyNumberFormat="1" applyFont="1" applyFill="1" applyBorder="1" applyAlignment="1">
      <alignment horizontal="center"/>
    </xf>
    <xf numFmtId="164" fontId="6" fillId="9" borderId="9" xfId="1" applyNumberFormat="1" applyFont="1" applyFill="1" applyBorder="1" applyAlignment="1">
      <alignment horizontal="center"/>
    </xf>
    <xf numFmtId="164" fontId="5" fillId="2" borderId="9" xfId="1" applyNumberFormat="1" applyFont="1" applyFill="1" applyBorder="1" applyAlignment="1">
      <alignment horizontal="center" wrapText="1"/>
    </xf>
    <xf numFmtId="164" fontId="6" fillId="0" borderId="5" xfId="1" applyNumberFormat="1" applyFont="1" applyFill="1" applyBorder="1" applyAlignment="1">
      <alignment horizontal="center" wrapText="1"/>
    </xf>
    <xf numFmtId="164" fontId="6" fillId="0" borderId="7" xfId="1" applyNumberFormat="1" applyFont="1" applyFill="1" applyBorder="1" applyAlignment="1">
      <alignment horizontal="center" wrapText="1"/>
    </xf>
    <xf numFmtId="164" fontId="5" fillId="2" borderId="10" xfId="1" applyNumberFormat="1" applyFont="1" applyFill="1" applyBorder="1" applyAlignment="1">
      <alignment horizontal="center"/>
    </xf>
    <xf numFmtId="164" fontId="5" fillId="2" borderId="9" xfId="1" applyNumberFormat="1" applyFont="1" applyFill="1" applyBorder="1" applyAlignment="1">
      <alignment horizontal="center"/>
    </xf>
    <xf numFmtId="164" fontId="6" fillId="2" borderId="22" xfId="1" applyNumberFormat="1" applyFont="1" applyFill="1" applyBorder="1" applyAlignment="1">
      <alignment horizontal="center"/>
    </xf>
    <xf numFmtId="164" fontId="6" fillId="0" borderId="19" xfId="1" applyNumberFormat="1" applyFont="1" applyFill="1" applyBorder="1" applyAlignment="1">
      <alignment horizontal="center"/>
    </xf>
    <xf numFmtId="164" fontId="6" fillId="0" borderId="20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 wrapText="1"/>
    </xf>
    <xf numFmtId="164" fontId="5" fillId="0" borderId="32" xfId="1" applyNumberFormat="1" applyFont="1" applyBorder="1" applyAlignment="1">
      <alignment horizontal="center"/>
    </xf>
    <xf numFmtId="0" fontId="6" fillId="0" borderId="13" xfId="1" applyFont="1" applyFill="1" applyBorder="1" applyAlignment="1">
      <alignment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justify" wrapText="1"/>
    </xf>
    <xf numFmtId="0" fontId="5" fillId="0" borderId="7" xfId="1" applyFont="1" applyBorder="1" applyAlignment="1">
      <alignment wrapText="1"/>
    </xf>
    <xf numFmtId="49" fontId="5" fillId="0" borderId="32" xfId="1" applyNumberFormat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164" fontId="3" fillId="16" borderId="5" xfId="1" applyNumberFormat="1" applyFont="1" applyFill="1" applyBorder="1" applyAlignment="1">
      <alignment horizontal="center" wrapText="1"/>
    </xf>
    <xf numFmtId="164" fontId="3" fillId="16" borderId="7" xfId="1" applyNumberFormat="1" applyFont="1" applyFill="1" applyBorder="1" applyAlignment="1">
      <alignment horizontal="center" wrapText="1"/>
    </xf>
    <xf numFmtId="10" fontId="5" fillId="0" borderId="6" xfId="1" applyNumberFormat="1" applyFont="1" applyBorder="1" applyAlignment="1">
      <alignment horizontal="center"/>
    </xf>
    <xf numFmtId="10" fontId="5" fillId="0" borderId="5" xfId="1" applyNumberFormat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0" fontId="5" fillId="0" borderId="49" xfId="1" applyFont="1" applyFill="1" applyBorder="1" applyAlignment="1">
      <alignment horizontal="center" vertical="center"/>
    </xf>
    <xf numFmtId="0" fontId="3" fillId="0" borderId="46" xfId="1" applyFont="1" applyBorder="1" applyAlignment="1">
      <alignment horizontal="center"/>
    </xf>
    <xf numFmtId="164" fontId="6" fillId="7" borderId="50" xfId="1" applyNumberFormat="1" applyFont="1" applyFill="1" applyBorder="1" applyAlignment="1">
      <alignment horizontal="center"/>
    </xf>
    <xf numFmtId="164" fontId="6" fillId="9" borderId="12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16" borderId="8" xfId="1" applyNumberFormat="1" applyFont="1" applyFill="1" applyBorder="1" applyAlignment="1">
      <alignment horizontal="center" wrapText="1"/>
    </xf>
    <xf numFmtId="10" fontId="5" fillId="0" borderId="8" xfId="1" applyNumberFormat="1" applyFont="1" applyBorder="1" applyAlignment="1">
      <alignment horizontal="center"/>
    </xf>
    <xf numFmtId="0" fontId="3" fillId="0" borderId="31" xfId="1" applyFont="1" applyBorder="1"/>
    <xf numFmtId="0" fontId="3" fillId="0" borderId="31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49" xfId="1" applyFont="1" applyBorder="1"/>
    <xf numFmtId="164" fontId="6" fillId="2" borderId="40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/>
    </xf>
    <xf numFmtId="164" fontId="6" fillId="0" borderId="50" xfId="1" applyNumberFormat="1" applyFont="1" applyFill="1" applyBorder="1" applyAlignment="1">
      <alignment horizontal="center"/>
    </xf>
    <xf numFmtId="0" fontId="27" fillId="0" borderId="0" xfId="1" applyFont="1" applyFill="1" applyAlignment="1">
      <alignment horizontal="left"/>
    </xf>
    <xf numFmtId="0" fontId="25" fillId="0" borderId="0" xfId="1" applyFont="1" applyFill="1"/>
    <xf numFmtId="0" fontId="26" fillId="0" borderId="0" xfId="1" applyFont="1" applyFill="1"/>
    <xf numFmtId="0" fontId="24" fillId="0" borderId="0" xfId="1" applyFont="1" applyFill="1" applyAlignment="1">
      <alignment horizontal="left"/>
    </xf>
    <xf numFmtId="0" fontId="3" fillId="0" borderId="0" xfId="1" applyFont="1" applyFill="1"/>
    <xf numFmtId="0" fontId="3" fillId="0" borderId="0" xfId="1" applyFont="1" applyFill="1" applyBorder="1"/>
    <xf numFmtId="49" fontId="3" fillId="0" borderId="6" xfId="1" applyNumberFormat="1" applyFont="1" applyFill="1" applyBorder="1" applyAlignment="1">
      <alignment horizontal="left" vertical="top" wrapText="1"/>
    </xf>
    <xf numFmtId="49" fontId="3" fillId="0" borderId="18" xfId="1" applyNumberFormat="1" applyFont="1" applyFill="1" applyBorder="1" applyAlignment="1">
      <alignment horizontal="left" vertical="top" wrapText="1"/>
    </xf>
    <xf numFmtId="49" fontId="3" fillId="0" borderId="15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justify" vertical="top" wrapText="1"/>
    </xf>
    <xf numFmtId="168" fontId="3" fillId="0" borderId="0" xfId="1" applyNumberFormat="1" applyFont="1" applyFill="1" applyBorder="1"/>
    <xf numFmtId="49" fontId="29" fillId="0" borderId="32" xfId="1" applyNumberFormat="1" applyFont="1" applyFill="1" applyBorder="1" applyAlignment="1">
      <alignment vertical="top" wrapText="1"/>
    </xf>
    <xf numFmtId="164" fontId="3" fillId="0" borderId="0" xfId="1" applyNumberFormat="1" applyFont="1" applyFill="1" applyBorder="1"/>
    <xf numFmtId="164" fontId="34" fillId="0" borderId="10" xfId="1" applyNumberFormat="1" applyFont="1" applyFill="1" applyBorder="1" applyAlignment="1">
      <alignment horizontal="center"/>
    </xf>
    <xf numFmtId="0" fontId="35" fillId="0" borderId="0" xfId="1" applyFont="1" applyFill="1" applyBorder="1"/>
    <xf numFmtId="164" fontId="34" fillId="0" borderId="9" xfId="1" applyNumberFormat="1" applyFont="1" applyFill="1" applyBorder="1" applyAlignment="1">
      <alignment horizontal="center"/>
    </xf>
    <xf numFmtId="164" fontId="33" fillId="0" borderId="11" xfId="1" applyNumberFormat="1" applyFont="1" applyFill="1" applyBorder="1" applyAlignment="1">
      <alignment horizontal="center" wrapText="1"/>
    </xf>
    <xf numFmtId="164" fontId="34" fillId="0" borderId="0" xfId="1" applyNumberFormat="1" applyFont="1" applyFill="1" applyBorder="1" applyAlignment="1">
      <alignment horizontal="center" vertical="center" wrapText="1"/>
    </xf>
    <xf numFmtId="164" fontId="34" fillId="0" borderId="8" xfId="1" applyNumberFormat="1" applyFont="1" applyFill="1" applyBorder="1" applyAlignment="1">
      <alignment horizontal="center" vertical="center" wrapText="1"/>
    </xf>
    <xf numFmtId="164" fontId="34" fillId="0" borderId="7" xfId="1" applyNumberFormat="1" applyFont="1" applyFill="1" applyBorder="1" applyAlignment="1">
      <alignment horizontal="center" vertical="center" wrapText="1"/>
    </xf>
    <xf numFmtId="164" fontId="34" fillId="0" borderId="23" xfId="1" applyNumberFormat="1" applyFont="1" applyFill="1" applyBorder="1" applyAlignment="1">
      <alignment horizontal="center" vertical="center" wrapText="1"/>
    </xf>
    <xf numFmtId="164" fontId="35" fillId="0" borderId="31" xfId="1" applyNumberFormat="1" applyFont="1" applyFill="1" applyBorder="1"/>
    <xf numFmtId="164" fontId="35" fillId="0" borderId="30" xfId="1" applyNumberFormat="1" applyFont="1" applyFill="1" applyBorder="1"/>
    <xf numFmtId="164" fontId="5" fillId="0" borderId="47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6" fillId="0" borderId="47" xfId="1" applyNumberFormat="1" applyFont="1" applyFill="1" applyBorder="1" applyAlignment="1">
      <alignment horizontal="center"/>
    </xf>
    <xf numFmtId="0" fontId="3" fillId="0" borderId="5" xfId="1" applyFont="1" applyFill="1" applyBorder="1"/>
    <xf numFmtId="164" fontId="6" fillId="0" borderId="17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 wrapText="1"/>
    </xf>
    <xf numFmtId="164" fontId="5" fillId="0" borderId="12" xfId="1" applyNumberFormat="1" applyFont="1" applyFill="1" applyBorder="1" applyAlignment="1">
      <alignment horizontal="center" wrapText="1"/>
    </xf>
    <xf numFmtId="164" fontId="5" fillId="0" borderId="9" xfId="1" applyNumberFormat="1" applyFont="1" applyFill="1" applyBorder="1" applyAlignment="1">
      <alignment horizont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164" fontId="6" fillId="0" borderId="23" xfId="1" applyNumberFormat="1" applyFont="1" applyFill="1" applyBorder="1" applyAlignment="1">
      <alignment horizontal="center" vertical="center" wrapText="1"/>
    </xf>
    <xf numFmtId="164" fontId="3" fillId="0" borderId="31" xfId="1" applyNumberFormat="1" applyFont="1" applyFill="1" applyBorder="1" applyAlignment="1">
      <alignment horizontal="center"/>
    </xf>
    <xf numFmtId="164" fontId="3" fillId="0" borderId="30" xfId="1" applyNumberFormat="1" applyFont="1" applyFill="1" applyBorder="1" applyAlignment="1">
      <alignment horizontal="center"/>
    </xf>
    <xf numFmtId="0" fontId="29" fillId="0" borderId="36" xfId="1" applyFont="1" applyFill="1" applyBorder="1" applyAlignment="1">
      <alignment horizontal="left" vertical="top" wrapText="1"/>
    </xf>
    <xf numFmtId="164" fontId="5" fillId="0" borderId="3" xfId="1" applyNumberFormat="1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wrapText="1"/>
    </xf>
    <xf numFmtId="164" fontId="5" fillId="0" borderId="8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4" fontId="36" fillId="16" borderId="0" xfId="0" applyNumberFormat="1" applyFont="1" applyFill="1" applyBorder="1" applyAlignment="1">
      <alignment horizontal="center" vertical="center"/>
    </xf>
    <xf numFmtId="170" fontId="3" fillId="0" borderId="0" xfId="1" applyNumberFormat="1" applyFont="1" applyFill="1" applyBorder="1"/>
    <xf numFmtId="10" fontId="3" fillId="0" borderId="0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68" fontId="26" fillId="0" borderId="0" xfId="1" applyNumberFormat="1" applyFont="1" applyFill="1"/>
    <xf numFmtId="164" fontId="26" fillId="0" borderId="0" xfId="1" applyNumberFormat="1" applyFont="1" applyFill="1"/>
    <xf numFmtId="4" fontId="37" fillId="16" borderId="0" xfId="0" applyNumberFormat="1" applyFont="1" applyFill="1" applyBorder="1" applyAlignment="1">
      <alignment horizontal="center" vertical="center"/>
    </xf>
    <xf numFmtId="164" fontId="6" fillId="0" borderId="14" xfId="1" applyNumberFormat="1" applyFont="1" applyFill="1" applyBorder="1" applyAlignment="1">
      <alignment horizontal="center"/>
    </xf>
    <xf numFmtId="164" fontId="6" fillId="0" borderId="13" xfId="1" applyNumberFormat="1" applyFont="1" applyFill="1" applyBorder="1" applyAlignment="1">
      <alignment horizont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0" applyNumberFormat="1" applyFont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0" fontId="5" fillId="0" borderId="46" xfId="1" applyFont="1" applyFill="1" applyBorder="1" applyAlignment="1">
      <alignment wrapText="1"/>
    </xf>
    <xf numFmtId="0" fontId="5" fillId="0" borderId="16" xfId="1" applyFont="1" applyFill="1" applyBorder="1" applyAlignment="1">
      <alignment wrapText="1"/>
    </xf>
    <xf numFmtId="0" fontId="5" fillId="0" borderId="12" xfId="1" applyFont="1" applyFill="1" applyBorder="1" applyAlignment="1">
      <alignment wrapText="1"/>
    </xf>
    <xf numFmtId="0" fontId="5" fillId="0" borderId="49" xfId="1" applyFont="1" applyFill="1" applyBorder="1" applyAlignment="1">
      <alignment vertical="top" wrapText="1"/>
    </xf>
    <xf numFmtId="164" fontId="5" fillId="0" borderId="19" xfId="1" applyNumberFormat="1" applyFont="1" applyFill="1" applyBorder="1" applyAlignment="1">
      <alignment horizontal="center" wrapText="1"/>
    </xf>
    <xf numFmtId="164" fontId="5" fillId="0" borderId="25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51" xfId="1" applyNumberFormat="1" applyFont="1" applyFill="1" applyBorder="1" applyAlignment="1">
      <alignment horizontal="center" wrapText="1"/>
    </xf>
    <xf numFmtId="164" fontId="6" fillId="0" borderId="21" xfId="1" applyNumberFormat="1" applyFont="1" applyFill="1" applyBorder="1" applyAlignment="1">
      <alignment horizontal="center" wrapText="1"/>
    </xf>
    <xf numFmtId="164" fontId="33" fillId="0" borderId="51" xfId="1" applyNumberFormat="1" applyFont="1" applyFill="1" applyBorder="1" applyAlignment="1">
      <alignment horizontal="center" wrapText="1"/>
    </xf>
    <xf numFmtId="164" fontId="29" fillId="0" borderId="21" xfId="0" applyNumberFormat="1" applyFont="1" applyFill="1" applyBorder="1" applyAlignment="1">
      <alignment horizontal="center"/>
    </xf>
    <xf numFmtId="169" fontId="29" fillId="0" borderId="19" xfId="1" applyNumberFormat="1" applyFont="1" applyFill="1" applyBorder="1" applyAlignment="1">
      <alignment horizontal="center"/>
    </xf>
    <xf numFmtId="164" fontId="33" fillId="0" borderId="33" xfId="1" applyNumberFormat="1" applyFont="1" applyFill="1" applyBorder="1" applyAlignment="1">
      <alignment horizontal="center"/>
    </xf>
    <xf numFmtId="164" fontId="3" fillId="16" borderId="27" xfId="1" applyNumberFormat="1" applyFont="1" applyFill="1" applyBorder="1" applyAlignment="1">
      <alignment horizontal="center" vertical="center"/>
    </xf>
    <xf numFmtId="164" fontId="3" fillId="16" borderId="29" xfId="1" applyNumberFormat="1" applyFont="1" applyFill="1" applyBorder="1" applyAlignment="1">
      <alignment horizontal="center" vertical="center"/>
    </xf>
    <xf numFmtId="164" fontId="3" fillId="16" borderId="34" xfId="1" applyNumberFormat="1" applyFont="1" applyFill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5" fillId="0" borderId="28" xfId="1" applyFont="1" applyFill="1" applyBorder="1" applyAlignment="1">
      <alignment horizontal="center"/>
    </xf>
    <xf numFmtId="0" fontId="5" fillId="0" borderId="27" xfId="1" applyFont="1" applyFill="1" applyBorder="1" applyAlignment="1">
      <alignment horizontal="center"/>
    </xf>
    <xf numFmtId="0" fontId="5" fillId="0" borderId="29" xfId="1" applyFont="1" applyFill="1" applyBorder="1" applyAlignment="1">
      <alignment horizontal="center"/>
    </xf>
    <xf numFmtId="0" fontId="5" fillId="0" borderId="36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3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/>
    </xf>
    <xf numFmtId="0" fontId="5" fillId="0" borderId="4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/>
    </xf>
    <xf numFmtId="164" fontId="3" fillId="0" borderId="28" xfId="1" applyNumberFormat="1" applyFont="1" applyFill="1" applyBorder="1" applyAlignment="1">
      <alignment horizontal="center" vertical="center" wrapText="1"/>
    </xf>
    <xf numFmtId="164" fontId="3" fillId="0" borderId="27" xfId="1" applyNumberFormat="1" applyFont="1" applyFill="1" applyBorder="1" applyAlignment="1">
      <alignment horizontal="center" vertical="center"/>
    </xf>
    <xf numFmtId="164" fontId="3" fillId="0" borderId="29" xfId="1" applyNumberFormat="1" applyFont="1" applyFill="1" applyBorder="1" applyAlignment="1">
      <alignment horizontal="center" vertical="center"/>
    </xf>
    <xf numFmtId="10" fontId="29" fillId="0" borderId="15" xfId="1" applyNumberFormat="1" applyFont="1" applyFill="1" applyBorder="1" applyAlignment="1">
      <alignment horizontal="center"/>
    </xf>
    <xf numFmtId="10" fontId="3" fillId="0" borderId="14" xfId="1" applyNumberFormat="1" applyFont="1" applyFill="1" applyBorder="1" applyAlignment="1">
      <alignment horizontal="center"/>
    </xf>
    <xf numFmtId="10" fontId="3" fillId="0" borderId="13" xfId="1" applyNumberFormat="1" applyFont="1" applyFill="1" applyBorder="1" applyAlignment="1">
      <alignment horizontal="center"/>
    </xf>
  </cellXfs>
  <cellStyles count="37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Cells 2" xfId="17"/>
    <cellStyle name="Currency [0]" xfId="18"/>
    <cellStyle name="Currency2" xfId="19"/>
    <cellStyle name="Followed Hyperlink" xfId="20"/>
    <cellStyle name="Header 3" xfId="21"/>
    <cellStyle name="Hyperlink" xfId="22"/>
    <cellStyle name="normal" xfId="23"/>
    <cellStyle name="Normal1" xfId="24"/>
    <cellStyle name="Normal2" xfId="25"/>
    <cellStyle name="Percent1" xfId="26"/>
    <cellStyle name="Title 4" xfId="27"/>
    <cellStyle name="Гиперссылка 2 2 2" xfId="28"/>
    <cellStyle name="Гиперссылка 4 6" xfId="29"/>
    <cellStyle name="Заголовок" xfId="30"/>
    <cellStyle name="ЗаголовокСтолбца" xfId="31"/>
    <cellStyle name="Обычный" xfId="0" builtinId="0"/>
    <cellStyle name="Обычный 10" xfId="32"/>
    <cellStyle name="Обычный 11" xfId="33"/>
    <cellStyle name="Обычный 12 3 2" xfId="34"/>
    <cellStyle name="Обычный 2" xfId="1"/>
    <cellStyle name="Обычный 2 14" xfId="35"/>
    <cellStyle name="Обычный 3 3 2" xfId="36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90;&#1072;&#1090;&#1086;&#1090;&#1095;&#1077;&#1090;&#1085;&#1086;&#1089;&#1090;&#1100;/46%20&#1060;&#1054;&#1056;&#1052;&#1040;%202016/05%2046EP%20ST(v2%200)%20&#1084;&#1072;&#1081;%20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7;&#1088;&#1075;&#1072;&#1095;-1\&#1057;&#1058;&#1040;&#1058;&#1054;&#1058;&#1063;&#1045;&#1058;\2015%20&#1075;\&#1060;&#1086;&#1088;&#1084;&#1072;%20&#8470;%2046\&#1054;&#1058;&#1055;&#1056;&#1040;&#1042;&#1051;&#1045;&#1053;&#1054;%20&#1055;&#1054;%20&#1045;&#1048;&#1040;&#1057;\&#1043;&#1054;&#1044;\46EP%20ST(v2%200)%20&#1075;&#1086;&#1076;%202015%20&#1082;&#1086;&#1088;&#1088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7;&#1088;&#1075;&#1072;&#1095;-1\&#1058;&#1040;&#1056;&#1048;&#1060;%202017%20&#1043;\&#1058;&#1072;&#1073;&#1083;%20%20&#1074;%20&#1090;&#1072;&#1088;&#1080;&#1092;%20&#1085;&#1072;%202017%20&#1075;&#1086;&#1076;%20%20&#1089;%20&#1087;&#1086;&#1090;&#1077;&#1088;&#1103;&#1084;&#1080;%20&#1084;&#1077;&#1090;&#1086;&#1076;&#1086;&#1084;%20&#1089;&#1088;&#1072;&#1074;&#1085;&#1077;&#1085;&#1080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90;&#1072;&#1090;&#1086;&#1090;&#1095;&#1077;&#1090;&#1085;&#1086;&#1089;&#1090;&#1100;/46%20&#1060;&#1054;&#1056;&#1052;&#1040;%202016/&#1088;&#1072;&#1089;&#1095;&#1077;&#1090;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2.0</v>
          </cell>
        </row>
      </sheetData>
      <sheetData sheetId="1"/>
      <sheetData sheetId="2">
        <row r="18">
          <cell r="G18" t="str">
            <v>ООО "Красноярский жилищно-коммунальный комплекс"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2013</v>
          </cell>
          <cell r="F2" t="str">
            <v>Да</v>
          </cell>
        </row>
        <row r="3">
          <cell r="D3" t="str">
            <v>февраль</v>
          </cell>
          <cell r="E3">
            <v>2014</v>
          </cell>
          <cell r="F3" t="str">
            <v>Нет</v>
          </cell>
        </row>
        <row r="4">
          <cell r="D4" t="str">
            <v>март</v>
          </cell>
          <cell r="E4">
            <v>2015</v>
          </cell>
        </row>
        <row r="5">
          <cell r="D5" t="str">
            <v>апрель</v>
          </cell>
          <cell r="E5">
            <v>2016</v>
          </cell>
        </row>
        <row r="6">
          <cell r="D6" t="str">
            <v>май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Абанский муниципальный район</v>
          </cell>
        </row>
        <row r="3">
          <cell r="D3" t="str">
            <v>Ачинский муниципальный район</v>
          </cell>
        </row>
        <row r="4">
          <cell r="D4" t="str">
            <v>Балахтинский муниципальный район</v>
          </cell>
        </row>
        <row r="5">
          <cell r="D5" t="str">
            <v>Березовский муниципальный район</v>
          </cell>
        </row>
        <row r="6">
          <cell r="D6" t="str">
            <v>Бирилюсский муниципальный район</v>
          </cell>
        </row>
        <row r="7">
          <cell r="D7" t="str">
            <v>Боготольский муниципальный район</v>
          </cell>
        </row>
        <row r="8">
          <cell r="D8" t="str">
            <v>Богучанский муниципальный район</v>
          </cell>
        </row>
        <row r="9">
          <cell r="D9" t="str">
            <v>Большемуртинский муниципальный район</v>
          </cell>
        </row>
        <row r="10">
          <cell r="D10" t="str">
            <v>Большеулуйский муниципальный район</v>
          </cell>
        </row>
        <row r="11">
          <cell r="D11" t="str">
            <v>Город Ачинск</v>
          </cell>
        </row>
        <row r="12">
          <cell r="D12" t="str">
            <v>Город Боготол</v>
          </cell>
        </row>
        <row r="13">
          <cell r="D13" t="str">
            <v>Город Бородино</v>
          </cell>
        </row>
        <row r="14">
          <cell r="D14" t="str">
            <v>Город Дивногорск</v>
          </cell>
        </row>
        <row r="15">
          <cell r="D15" t="str">
            <v>Город Енисейск</v>
          </cell>
        </row>
        <row r="16">
          <cell r="D16" t="str">
            <v>Город Канск</v>
          </cell>
        </row>
        <row r="17">
          <cell r="D17" t="str">
            <v>Город Красноярск</v>
          </cell>
        </row>
        <row r="18">
          <cell r="D18" t="str">
            <v>Город Лесосибирск</v>
          </cell>
        </row>
        <row r="19">
          <cell r="D19" t="str">
            <v>Город Минусинск</v>
          </cell>
        </row>
        <row r="20">
          <cell r="D20" t="str">
            <v>Город Назарово</v>
          </cell>
        </row>
        <row r="21">
          <cell r="D21" t="str">
            <v>Город Норильск</v>
          </cell>
        </row>
        <row r="22">
          <cell r="D22" t="str">
            <v>Город Сосновоборск</v>
          </cell>
        </row>
        <row r="23">
          <cell r="D23" t="str">
            <v>Город Шарыпово</v>
          </cell>
        </row>
        <row r="24">
          <cell r="D24" t="str">
            <v>Дзержинский район</v>
          </cell>
        </row>
        <row r="25">
          <cell r="D25" t="str">
            <v>Емельяновский муниципальный район</v>
          </cell>
        </row>
        <row r="26">
          <cell r="D26" t="str">
            <v>Енисейский муниципальный район</v>
          </cell>
        </row>
        <row r="27">
          <cell r="D27" t="str">
            <v>Ермаковский муниципальный район</v>
          </cell>
        </row>
        <row r="28">
          <cell r="D28" t="str">
            <v>ЗАТО город Железногорск</v>
          </cell>
        </row>
        <row r="29">
          <cell r="D29" t="str">
            <v>ЗАТО город Зеленогорск</v>
          </cell>
        </row>
        <row r="30">
          <cell r="D30" t="str">
            <v>ЗАТО поселок Солнечный</v>
          </cell>
        </row>
        <row r="31">
          <cell r="D31" t="str">
            <v>Идринский муниципальный раойон</v>
          </cell>
        </row>
        <row r="32">
          <cell r="D32" t="str">
            <v>Иланский муниципальный район</v>
          </cell>
        </row>
        <row r="33">
          <cell r="D33" t="str">
            <v>Ирбейский муниципальный район</v>
          </cell>
        </row>
        <row r="34">
          <cell r="D34" t="str">
            <v>Казачинский муниципальный район</v>
          </cell>
        </row>
        <row r="35">
          <cell r="D35" t="str">
            <v>Канский муниципальный район</v>
          </cell>
        </row>
        <row r="36">
          <cell r="D36" t="str">
            <v>Каратузский муниципальный район</v>
          </cell>
        </row>
        <row r="37">
          <cell r="D37" t="str">
            <v>Кежемский муниципальный район</v>
          </cell>
        </row>
        <row r="38">
          <cell r="D38" t="str">
            <v>Козульский муниципальный район</v>
          </cell>
        </row>
        <row r="39">
          <cell r="D39" t="str">
            <v>Краснотуранский муниципальный район</v>
          </cell>
        </row>
        <row r="40">
          <cell r="D40" t="str">
            <v>Курагинский муниципальный район</v>
          </cell>
        </row>
        <row r="41">
          <cell r="D41" t="str">
            <v>Манский муниципальный район</v>
          </cell>
        </row>
        <row r="42">
          <cell r="D42" t="str">
            <v>Минусинский муниципальный район</v>
          </cell>
        </row>
        <row r="43">
          <cell r="D43" t="str">
            <v>Мотыгинский муниципальный район</v>
          </cell>
        </row>
        <row r="44">
          <cell r="D44" t="str">
            <v>Назаровский муниципальный район</v>
          </cell>
        </row>
        <row r="45">
          <cell r="D45" t="str">
            <v>Нижнеингашский муниципальный район</v>
          </cell>
        </row>
        <row r="46">
          <cell r="D46" t="str">
            <v>Новоселовский муниципальный район</v>
          </cell>
        </row>
        <row r="47">
          <cell r="D47" t="str">
            <v>Партизанский муниципальный район</v>
          </cell>
        </row>
        <row r="48">
          <cell r="D48" t="str">
            <v>Пировский муниципальный район</v>
          </cell>
        </row>
        <row r="49">
          <cell r="D49" t="str">
            <v>Поселок Кедровый</v>
          </cell>
        </row>
        <row r="50">
          <cell r="D50" t="str">
            <v>Рыбинский муниципальный район</v>
          </cell>
        </row>
        <row r="51">
          <cell r="D51" t="str">
            <v>Саянский муниципальный район</v>
          </cell>
        </row>
        <row r="52">
          <cell r="D52" t="str">
            <v>Северо-Енисейский муниципальный район</v>
          </cell>
        </row>
        <row r="53">
          <cell r="D53" t="str">
            <v>Сухобузимский муниципальный район</v>
          </cell>
        </row>
        <row r="54">
          <cell r="D54" t="str">
            <v>Таймырский (Долгано-Ненецкий) муниципальный район</v>
          </cell>
        </row>
        <row r="55">
          <cell r="D55" t="str">
            <v>Тасеевский муниципальный район</v>
          </cell>
        </row>
        <row r="56">
          <cell r="D56" t="str">
            <v>Туруханский муниципальный район</v>
          </cell>
        </row>
        <row r="57">
          <cell r="D57" t="str">
            <v>Тюхтетский муниципальный район</v>
          </cell>
        </row>
        <row r="58">
          <cell r="D58" t="str">
            <v>Ужурский муниципальный район</v>
          </cell>
        </row>
        <row r="59">
          <cell r="D59" t="str">
            <v>Уярский муниципальный район</v>
          </cell>
        </row>
        <row r="60">
          <cell r="D60" t="str">
            <v>Шарыповский муниципальный район</v>
          </cell>
        </row>
        <row r="61">
          <cell r="D61" t="str">
            <v>Шушенский муниципальный район</v>
          </cell>
        </row>
        <row r="62">
          <cell r="D62" t="str">
            <v>Эвенкийский муниципальный район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 refreshError="1"/>
      <sheetData sheetId="3" refreshError="1">
        <row r="15">
          <cell r="G15">
            <v>74048.995999999999</v>
          </cell>
          <cell r="H15">
            <v>75126.722999999998</v>
          </cell>
          <cell r="I15">
            <v>276067.42300000001</v>
          </cell>
          <cell r="J15">
            <v>226972.478</v>
          </cell>
        </row>
        <row r="19">
          <cell r="H19">
            <v>0</v>
          </cell>
          <cell r="I19">
            <v>6000.7515000000021</v>
          </cell>
          <cell r="J19">
            <v>29811.957100000025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щность по управлению"/>
      <sheetName val="1.6 2015 г"/>
      <sheetName val="1.4 2016 г"/>
      <sheetName val="1.5 2016 г"/>
      <sheetName val="Табл 4А потери в 2016 году"/>
      <sheetName val="Табл 4А на 2017 г"/>
      <sheetName val="Потери по мет сравн анализ 17 г"/>
      <sheetName val="Норматив потерь по приказу"/>
      <sheetName val="1.3 2016"/>
      <sheetName val="Трансформаторы 2014-2015"/>
      <sheetName val="Табл 2.1."/>
      <sheetName val="Табл 2.2"/>
    </sheetNames>
    <sheetDataSet>
      <sheetData sheetId="0" refreshError="1"/>
      <sheetData sheetId="1" refreshError="1">
        <row r="22">
          <cell r="D22">
            <v>63.615000000000002</v>
          </cell>
        </row>
        <row r="30">
          <cell r="E30">
            <v>0</v>
          </cell>
        </row>
      </sheetData>
      <sheetData sheetId="2" refreshError="1">
        <row r="13">
          <cell r="F13">
            <v>71.213097000000005</v>
          </cell>
          <cell r="I13">
            <v>78.176094999999989</v>
          </cell>
          <cell r="L13">
            <v>266.11701399999998</v>
          </cell>
          <cell r="O13">
            <v>253.89527940000002</v>
          </cell>
        </row>
        <row r="19">
          <cell r="F19">
            <v>71.213097000000005</v>
          </cell>
          <cell r="I19">
            <v>78.176094999999989</v>
          </cell>
          <cell r="L19">
            <v>261.31647300999998</v>
          </cell>
          <cell r="O19">
            <v>236.98053970000004</v>
          </cell>
        </row>
        <row r="22">
          <cell r="F22">
            <v>0.30392387999999998</v>
          </cell>
          <cell r="I22">
            <v>0.18571113</v>
          </cell>
          <cell r="L22">
            <v>7.6617702999999997</v>
          </cell>
          <cell r="O22">
            <v>6.9521134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"/>
      <sheetName val="сент"/>
      <sheetName val="окт"/>
      <sheetName val="нояб"/>
      <sheetName val="декабрь"/>
      <sheetName val="год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5">
          <cell r="G15">
            <v>81862.796000000017</v>
          </cell>
        </row>
        <row r="27">
          <cell r="H27">
            <v>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T180"/>
  <sheetViews>
    <sheetView view="pageBreakPreview" zoomScale="82" zoomScaleNormal="100" zoomScaleSheetLayoutView="82" workbookViewId="0">
      <selection activeCell="AH12" sqref="AH12"/>
    </sheetView>
  </sheetViews>
  <sheetFormatPr defaultRowHeight="18.75"/>
  <cols>
    <col min="1" max="1" width="11" style="1" customWidth="1"/>
    <col min="2" max="2" width="24" style="1" customWidth="1"/>
    <col min="3" max="3" width="66.7109375" style="1" customWidth="1"/>
    <col min="4" max="4" width="17.7109375" style="1" hidden="1" customWidth="1"/>
    <col min="5" max="5" width="18.28515625" style="1" hidden="1" customWidth="1"/>
    <col min="6" max="6" width="16.7109375" style="1" hidden="1" customWidth="1"/>
    <col min="7" max="7" width="18.140625" style="1" hidden="1" customWidth="1"/>
    <col min="8" max="8" width="20.7109375" style="1" hidden="1" customWidth="1"/>
    <col min="9" max="9" width="17.28515625" style="1" hidden="1" customWidth="1"/>
    <col min="10" max="10" width="15.42578125" style="1" hidden="1" customWidth="1"/>
    <col min="11" max="11" width="14.5703125" style="1" hidden="1" customWidth="1"/>
    <col min="12" max="13" width="17.5703125" style="1" hidden="1" customWidth="1"/>
    <col min="14" max="14" width="19.5703125" style="1" hidden="1" customWidth="1"/>
    <col min="15" max="15" width="20.42578125" style="1" hidden="1" customWidth="1"/>
    <col min="16" max="16" width="16.140625" style="1" hidden="1" customWidth="1"/>
    <col min="17" max="17" width="15.85546875" style="1" hidden="1" customWidth="1"/>
    <col min="18" max="18" width="19.42578125" style="1" hidden="1" customWidth="1"/>
    <col min="19" max="19" width="16" style="1" hidden="1" customWidth="1"/>
    <col min="20" max="20" width="15.28515625" style="1" hidden="1" customWidth="1"/>
    <col min="21" max="21" width="14.42578125" style="1" hidden="1" customWidth="1"/>
    <col min="22" max="22" width="14.85546875" style="1" hidden="1" customWidth="1"/>
    <col min="23" max="23" width="15.42578125" style="1" hidden="1" customWidth="1"/>
    <col min="24" max="33" width="18.42578125" style="1" hidden="1" customWidth="1"/>
    <col min="34" max="34" width="20" style="1" customWidth="1"/>
    <col min="35" max="35" width="16" style="1" customWidth="1"/>
    <col min="36" max="38" width="17.28515625" style="1" bestFit="1" customWidth="1"/>
    <col min="39" max="39" width="16.5703125" style="1" customWidth="1"/>
    <col min="40" max="40" width="21" style="1" customWidth="1"/>
    <col min="41" max="42" width="16.28515625" style="1" customWidth="1"/>
    <col min="43" max="43" width="21.7109375" style="1" customWidth="1"/>
    <col min="44" max="44" width="9.140625" style="1"/>
    <col min="45" max="45" width="15.5703125" style="1" customWidth="1"/>
    <col min="46" max="46" width="19.140625" style="1" customWidth="1"/>
    <col min="47" max="16384" width="9.140625" style="1"/>
  </cols>
  <sheetData>
    <row r="1" spans="1:46" s="92" customFormat="1" ht="23.25">
      <c r="A1" s="117" t="s">
        <v>22</v>
      </c>
      <c r="B1" s="90"/>
      <c r="C1" s="91"/>
      <c r="D1" s="91"/>
      <c r="E1" s="91"/>
      <c r="F1" s="91"/>
      <c r="G1" s="91"/>
      <c r="H1" s="91"/>
    </row>
    <row r="2" spans="1:46" s="92" customFormat="1" ht="23.25">
      <c r="A2" s="117" t="s">
        <v>23</v>
      </c>
      <c r="B2" s="90"/>
      <c r="C2" s="91"/>
      <c r="D2" s="91"/>
      <c r="E2" s="91"/>
      <c r="F2" s="91"/>
      <c r="G2" s="91"/>
      <c r="H2" s="91"/>
    </row>
    <row r="3" spans="1:46" s="92" customFormat="1" ht="21" thickBot="1">
      <c r="A3" s="90"/>
      <c r="B3" s="90"/>
      <c r="C3" s="91"/>
      <c r="D3" s="91"/>
      <c r="E3" s="91"/>
      <c r="F3" s="91"/>
      <c r="G3" s="91"/>
      <c r="H3" s="91"/>
    </row>
    <row r="4" spans="1:46" ht="31.5" customHeight="1">
      <c r="A4" s="293" t="s">
        <v>18</v>
      </c>
      <c r="B4" s="284" t="s">
        <v>24</v>
      </c>
      <c r="C4" s="295" t="s">
        <v>17</v>
      </c>
      <c r="D4" s="289" t="s">
        <v>16</v>
      </c>
      <c r="E4" s="287"/>
      <c r="F4" s="287"/>
      <c r="G4" s="287"/>
      <c r="H4" s="288"/>
      <c r="I4" s="286" t="s">
        <v>15</v>
      </c>
      <c r="J4" s="287"/>
      <c r="K4" s="287"/>
      <c r="L4" s="287"/>
      <c r="M4" s="288"/>
      <c r="N4" s="289" t="s">
        <v>14</v>
      </c>
      <c r="O4" s="287"/>
      <c r="P4" s="287"/>
      <c r="Q4" s="287"/>
      <c r="R4" s="288"/>
      <c r="S4" s="286" t="s">
        <v>13</v>
      </c>
      <c r="T4" s="287"/>
      <c r="U4" s="287"/>
      <c r="V4" s="287"/>
      <c r="W4" s="288"/>
      <c r="X4" s="289" t="s">
        <v>12</v>
      </c>
      <c r="Y4" s="287"/>
      <c r="Z4" s="287"/>
      <c r="AA4" s="287"/>
      <c r="AB4" s="288"/>
      <c r="AC4" s="286" t="s">
        <v>11</v>
      </c>
      <c r="AD4" s="287"/>
      <c r="AE4" s="287"/>
      <c r="AF4" s="287"/>
      <c r="AG4" s="288"/>
      <c r="AH4" s="289" t="s">
        <v>19</v>
      </c>
      <c r="AI4" s="287"/>
      <c r="AJ4" s="287"/>
      <c r="AK4" s="287"/>
      <c r="AL4" s="288"/>
      <c r="AM4" s="290" t="s">
        <v>21</v>
      </c>
      <c r="AN4" s="291"/>
      <c r="AO4" s="291"/>
      <c r="AP4" s="291"/>
      <c r="AQ4" s="292"/>
    </row>
    <row r="5" spans="1:46" s="2" customFormat="1" ht="28.5" customHeight="1" thickBot="1">
      <c r="A5" s="294"/>
      <c r="B5" s="285"/>
      <c r="C5" s="296"/>
      <c r="D5" s="82" t="s">
        <v>10</v>
      </c>
      <c r="E5" s="81" t="s">
        <v>9</v>
      </c>
      <c r="F5" s="81" t="s">
        <v>8</v>
      </c>
      <c r="G5" s="81" t="s">
        <v>7</v>
      </c>
      <c r="H5" s="80" t="s">
        <v>6</v>
      </c>
      <c r="I5" s="83" t="s">
        <v>10</v>
      </c>
      <c r="J5" s="81" t="s">
        <v>9</v>
      </c>
      <c r="K5" s="81" t="s">
        <v>8</v>
      </c>
      <c r="L5" s="81" t="s">
        <v>7</v>
      </c>
      <c r="M5" s="80" t="s">
        <v>6</v>
      </c>
      <c r="N5" s="82" t="s">
        <v>10</v>
      </c>
      <c r="O5" s="81" t="s">
        <v>9</v>
      </c>
      <c r="P5" s="81" t="s">
        <v>8</v>
      </c>
      <c r="Q5" s="81" t="s">
        <v>7</v>
      </c>
      <c r="R5" s="80" t="s">
        <v>6</v>
      </c>
      <c r="S5" s="83" t="s">
        <v>10</v>
      </c>
      <c r="T5" s="81" t="s">
        <v>9</v>
      </c>
      <c r="U5" s="81" t="s">
        <v>8</v>
      </c>
      <c r="V5" s="81" t="s">
        <v>7</v>
      </c>
      <c r="W5" s="80" t="s">
        <v>6</v>
      </c>
      <c r="X5" s="82" t="s">
        <v>10</v>
      </c>
      <c r="Y5" s="81" t="s">
        <v>9</v>
      </c>
      <c r="Z5" s="81" t="s">
        <v>8</v>
      </c>
      <c r="AA5" s="81" t="s">
        <v>7</v>
      </c>
      <c r="AB5" s="80" t="s">
        <v>6</v>
      </c>
      <c r="AC5" s="83" t="s">
        <v>10</v>
      </c>
      <c r="AD5" s="81" t="s">
        <v>9</v>
      </c>
      <c r="AE5" s="81" t="s">
        <v>8</v>
      </c>
      <c r="AF5" s="81" t="s">
        <v>7</v>
      </c>
      <c r="AG5" s="80" t="s">
        <v>6</v>
      </c>
      <c r="AH5" s="82" t="s">
        <v>10</v>
      </c>
      <c r="AI5" s="81" t="s">
        <v>9</v>
      </c>
      <c r="AJ5" s="81" t="s">
        <v>8</v>
      </c>
      <c r="AK5" s="81" t="s">
        <v>7</v>
      </c>
      <c r="AL5" s="80" t="s">
        <v>6</v>
      </c>
      <c r="AM5" s="82" t="s">
        <v>10</v>
      </c>
      <c r="AN5" s="81" t="s">
        <v>9</v>
      </c>
      <c r="AO5" s="81" t="s">
        <v>8</v>
      </c>
      <c r="AP5" s="81" t="s">
        <v>7</v>
      </c>
      <c r="AQ5" s="80" t="s">
        <v>6</v>
      </c>
    </row>
    <row r="6" spans="1:46" s="2" customFormat="1" ht="136.5">
      <c r="A6" s="148">
        <v>1</v>
      </c>
      <c r="B6" s="93" t="s">
        <v>25</v>
      </c>
      <c r="C6" s="79" t="s">
        <v>5</v>
      </c>
      <c r="D6" s="78"/>
      <c r="E6" s="77"/>
      <c r="F6" s="77"/>
      <c r="G6" s="77"/>
      <c r="H6" s="76"/>
      <c r="I6" s="75"/>
      <c r="J6" s="72"/>
      <c r="K6" s="72"/>
      <c r="L6" s="72"/>
      <c r="M6" s="74"/>
      <c r="N6" s="75"/>
      <c r="O6" s="72"/>
      <c r="P6" s="72"/>
      <c r="Q6" s="72"/>
      <c r="R6" s="74"/>
      <c r="S6" s="75"/>
      <c r="T6" s="72"/>
      <c r="U6" s="72"/>
      <c r="V6" s="72"/>
      <c r="W6" s="74"/>
      <c r="X6" s="75"/>
      <c r="Y6" s="72"/>
      <c r="Z6" s="72"/>
      <c r="AA6" s="72"/>
      <c r="AB6" s="74"/>
      <c r="AC6" s="71"/>
      <c r="AD6" s="73"/>
      <c r="AE6" s="73"/>
      <c r="AF6" s="73"/>
      <c r="AG6" s="73"/>
      <c r="AH6" s="71"/>
      <c r="AI6" s="72"/>
      <c r="AJ6" s="72"/>
      <c r="AK6" s="72"/>
      <c r="AL6" s="74"/>
      <c r="AM6" s="71"/>
      <c r="AN6" s="70"/>
      <c r="AO6" s="70"/>
      <c r="AP6" s="70"/>
      <c r="AQ6" s="142"/>
    </row>
    <row r="7" spans="1:46" s="2" customFormat="1" ht="58.5">
      <c r="A7" s="145" t="s">
        <v>38</v>
      </c>
      <c r="B7" s="93"/>
      <c r="C7" s="69" t="s">
        <v>35</v>
      </c>
      <c r="D7" s="65"/>
      <c r="E7" s="64"/>
      <c r="F7" s="64"/>
      <c r="G7" s="64"/>
      <c r="H7" s="68"/>
      <c r="I7" s="65"/>
      <c r="J7" s="67"/>
      <c r="K7" s="67"/>
      <c r="L7" s="67"/>
      <c r="M7" s="66"/>
      <c r="N7" s="65"/>
      <c r="O7" s="67"/>
      <c r="P7" s="67"/>
      <c r="Q7" s="67"/>
      <c r="R7" s="66"/>
      <c r="S7" s="65"/>
      <c r="T7" s="64"/>
      <c r="U7" s="64"/>
      <c r="V7" s="64"/>
      <c r="W7" s="63"/>
      <c r="X7" s="33"/>
      <c r="Y7" s="40"/>
      <c r="Z7" s="40"/>
      <c r="AA7" s="40"/>
      <c r="AB7" s="39"/>
      <c r="AC7" s="37" t="e">
        <f>SUM(AD7:AG7)</f>
        <v>#REF!</v>
      </c>
      <c r="AD7" s="35" t="e">
        <f>('[2]Отпуск ЭЭ сет организациями'!$G$15+'[2]Отпуск ЭЭ сет организациями'!$G$19)</f>
        <v>#REF!</v>
      </c>
      <c r="AE7" s="35">
        <f>('[2]Отпуск ЭЭ сет организациями'!$H$15+'[2]Отпуск ЭЭ сет организациями'!$H$19)</f>
        <v>75126.722999999998</v>
      </c>
      <c r="AF7" s="35">
        <f>('[2]Отпуск ЭЭ сет организациями'!$I$15+'[2]Отпуск ЭЭ сет организациями'!$I$19)</f>
        <v>282068.17450000002</v>
      </c>
      <c r="AG7" s="62">
        <f>'[2]Отпуск ЭЭ сет организациями'!$J$15+'[2]Отпуск ЭЭ сет организациями'!$J$19</f>
        <v>256784.43510000003</v>
      </c>
      <c r="AH7" s="113">
        <f>SUM(AI7:AL7)</f>
        <v>669401.48540000001</v>
      </c>
      <c r="AI7" s="105">
        <f>'[3]1.4 2016 г'!$F$13*1000</f>
        <v>71213.097000000009</v>
      </c>
      <c r="AJ7" s="105">
        <f>'[3]1.4 2016 г'!$I$13*1000</f>
        <v>78176.094999999987</v>
      </c>
      <c r="AK7" s="105">
        <f>'[3]1.4 2016 г'!$L$13*1000</f>
        <v>266117.01399999997</v>
      </c>
      <c r="AL7" s="106">
        <f>'[3]1.4 2016 г'!$O$13*1000</f>
        <v>253895.27940000003</v>
      </c>
      <c r="AM7" s="114">
        <f>SUM(AN7:AQ7)</f>
        <v>685858.1017</v>
      </c>
      <c r="AN7" s="115">
        <v>83182.970700000005</v>
      </c>
      <c r="AO7" s="115">
        <v>72138.278999999995</v>
      </c>
      <c r="AP7" s="115">
        <f>258503.889+15112.823</f>
        <v>273616.712</v>
      </c>
      <c r="AQ7" s="116">
        <f>223554.127+33366.013</f>
        <v>256920.14</v>
      </c>
    </row>
    <row r="8" spans="1:46" s="2" customFormat="1" ht="39">
      <c r="A8" s="145" t="s">
        <v>39</v>
      </c>
      <c r="B8" s="93"/>
      <c r="C8" s="61" t="s">
        <v>37</v>
      </c>
      <c r="D8" s="60">
        <v>567528.19999999995</v>
      </c>
      <c r="E8" s="59">
        <v>128392.8</v>
      </c>
      <c r="F8" s="59">
        <v>80645.14</v>
      </c>
      <c r="G8" s="59">
        <v>371603.3</v>
      </c>
      <c r="H8" s="58">
        <v>193748.14</v>
      </c>
      <c r="I8" s="55">
        <f>M8+L8+K8+J8</f>
        <v>694956.44500000007</v>
      </c>
      <c r="J8" s="54">
        <v>80638.356</v>
      </c>
      <c r="K8" s="54">
        <v>78310.013000000006</v>
      </c>
      <c r="L8" s="54">
        <v>285521.33399999997</v>
      </c>
      <c r="M8" s="56">
        <v>250486.742</v>
      </c>
      <c r="N8" s="55">
        <v>726736.59100000001</v>
      </c>
      <c r="O8" s="54">
        <v>141324.02737854503</v>
      </c>
      <c r="P8" s="54">
        <v>77400.995999999999</v>
      </c>
      <c r="Q8" s="54">
        <v>544624.77099999995</v>
      </c>
      <c r="R8" s="56">
        <v>282331.94099999999</v>
      </c>
      <c r="S8" s="55">
        <f>T8+U8+V8+W8</f>
        <v>686417.19349999994</v>
      </c>
      <c r="T8" s="48">
        <v>76877.680999999997</v>
      </c>
      <c r="U8" s="48">
        <v>77126.925000000003</v>
      </c>
      <c r="V8" s="48">
        <v>294890.31849999999</v>
      </c>
      <c r="W8" s="48">
        <v>237522.269</v>
      </c>
      <c r="X8" s="55">
        <f>Y8+Z8+AA8+AB8</f>
        <v>714164.76199999999</v>
      </c>
      <c r="Y8" s="54">
        <v>79338.607999999993</v>
      </c>
      <c r="Z8" s="54">
        <v>80453.646999999997</v>
      </c>
      <c r="AA8" s="54">
        <v>295892.89899999998</v>
      </c>
      <c r="AB8" s="56">
        <v>258479.60800000001</v>
      </c>
      <c r="AC8" s="57">
        <f>SUM(AD8:AG8)</f>
        <v>652215.62</v>
      </c>
      <c r="AD8" s="46">
        <v>74048.995999999999</v>
      </c>
      <c r="AE8" s="46">
        <v>75126.722999999998</v>
      </c>
      <c r="AF8" s="46">
        <v>276067.42300000001</v>
      </c>
      <c r="AG8" s="46">
        <v>226972.478</v>
      </c>
      <c r="AH8" s="57">
        <f>AI8+AJ8+AK8+AL8</f>
        <v>647686.20470999996</v>
      </c>
      <c r="AI8" s="84">
        <f>'[3]1.4 2016 г'!$F$19*1000</f>
        <v>71213.097000000009</v>
      </c>
      <c r="AJ8" s="84">
        <f>'[3]1.4 2016 г'!$I$19*1000</f>
        <v>78176.094999999987</v>
      </c>
      <c r="AK8" s="84">
        <f>'[3]1.4 2016 г'!$L$19*1000</f>
        <v>261316.47300999999</v>
      </c>
      <c r="AL8" s="85">
        <f>'[3]1.4 2016 г'!$O$19*1000</f>
        <v>236980.53970000002</v>
      </c>
      <c r="AM8" s="112">
        <f>AN8+AO8+AP8+AQ8</f>
        <v>637168.90370000002</v>
      </c>
      <c r="AN8" s="110">
        <v>83182.970700000005</v>
      </c>
      <c r="AO8" s="110">
        <v>71927.917000000001</v>
      </c>
      <c r="AP8" s="110">
        <v>258503.889</v>
      </c>
      <c r="AQ8" s="111">
        <v>223554.12700000001</v>
      </c>
    </row>
    <row r="9" spans="1:46" s="2" customFormat="1" ht="36" customHeight="1">
      <c r="A9" s="145" t="s">
        <v>40</v>
      </c>
      <c r="B9" s="93"/>
      <c r="C9" s="49" t="s">
        <v>36</v>
      </c>
      <c r="D9" s="53"/>
      <c r="E9" s="31"/>
      <c r="F9" s="31"/>
      <c r="G9" s="31"/>
      <c r="H9" s="30"/>
      <c r="I9" s="53"/>
      <c r="J9" s="31"/>
      <c r="K9" s="31"/>
      <c r="L9" s="31"/>
      <c r="M9" s="30"/>
      <c r="N9" s="53"/>
      <c r="O9" s="31"/>
      <c r="P9" s="31"/>
      <c r="Q9" s="31"/>
      <c r="R9" s="30"/>
      <c r="S9" s="53"/>
      <c r="T9" s="31"/>
      <c r="U9" s="31"/>
      <c r="V9" s="31"/>
      <c r="W9" s="30"/>
      <c r="X9" s="53"/>
      <c r="Y9" s="31"/>
      <c r="Z9" s="31"/>
      <c r="AA9" s="31"/>
      <c r="AB9" s="30"/>
      <c r="AC9" s="53"/>
      <c r="AD9" s="31"/>
      <c r="AE9" s="31"/>
      <c r="AF9" s="31"/>
      <c r="AG9" s="30"/>
      <c r="AH9" s="99">
        <f t="shared" ref="AH9:AQ9" si="0">AH10+AH11</f>
        <v>369465.049</v>
      </c>
      <c r="AI9" s="100">
        <f t="shared" si="0"/>
        <v>5980.66</v>
      </c>
      <c r="AJ9" s="100">
        <f t="shared" si="0"/>
        <v>113.374</v>
      </c>
      <c r="AK9" s="100">
        <f t="shared" si="0"/>
        <v>149253.03</v>
      </c>
      <c r="AL9" s="101">
        <f t="shared" si="0"/>
        <v>214117.98500000002</v>
      </c>
      <c r="AM9" s="102">
        <f t="shared" si="0"/>
        <v>394382.11</v>
      </c>
      <c r="AN9" s="103">
        <f t="shared" si="0"/>
        <v>5066.6710000000003</v>
      </c>
      <c r="AO9" s="103">
        <f t="shared" si="0"/>
        <v>184.41</v>
      </c>
      <c r="AP9" s="103">
        <f t="shared" si="0"/>
        <v>151372.704</v>
      </c>
      <c r="AQ9" s="104">
        <f t="shared" si="0"/>
        <v>237758.32499999998</v>
      </c>
    </row>
    <row r="10" spans="1:46" s="2" customFormat="1" ht="39">
      <c r="A10" s="145" t="s">
        <v>42</v>
      </c>
      <c r="B10" s="93"/>
      <c r="C10" s="49" t="s">
        <v>20</v>
      </c>
      <c r="D10" s="15">
        <f>E10+F10+G10+H10</f>
        <v>272071.50299999997</v>
      </c>
      <c r="E10" s="22">
        <v>2994.7489999999998</v>
      </c>
      <c r="F10" s="22">
        <v>0</v>
      </c>
      <c r="G10" s="22">
        <v>89905.157999999996</v>
      </c>
      <c r="H10" s="21">
        <v>179171.59599999999</v>
      </c>
      <c r="I10" s="15">
        <f>M10+L10+K10+J10</f>
        <v>399541.54300000001</v>
      </c>
      <c r="J10" s="43">
        <v>3890.0230000000001</v>
      </c>
      <c r="K10" s="43">
        <v>0</v>
      </c>
      <c r="L10" s="43">
        <v>140735.81</v>
      </c>
      <c r="M10" s="44">
        <v>254915.71</v>
      </c>
      <c r="N10" s="15">
        <f>R10+Q10+P10+O10</f>
        <v>402044.2</v>
      </c>
      <c r="O10" s="43">
        <v>4543.8980000000001</v>
      </c>
      <c r="P10" s="43">
        <v>0</v>
      </c>
      <c r="Q10" s="43">
        <v>128330.459</v>
      </c>
      <c r="R10" s="44">
        <v>269169.84299999999</v>
      </c>
      <c r="S10" s="15">
        <f>W10+V10+U10+T10</f>
        <v>371325.17300000001</v>
      </c>
      <c r="T10" s="52">
        <v>2147.799</v>
      </c>
      <c r="U10" s="52">
        <v>0</v>
      </c>
      <c r="V10" s="52">
        <v>123205.88499999999</v>
      </c>
      <c r="W10" s="51">
        <v>245971.489</v>
      </c>
      <c r="X10" s="15">
        <f>AB10+AA10+Z10+Y10</f>
        <v>402044.2</v>
      </c>
      <c r="Y10" s="43">
        <v>4543.8980000000001</v>
      </c>
      <c r="Z10" s="43">
        <v>0</v>
      </c>
      <c r="AA10" s="43">
        <v>128330.459</v>
      </c>
      <c r="AB10" s="44">
        <v>269169.84299999999</v>
      </c>
      <c r="AC10" s="20">
        <f>AG10+AF10+AE10+AD10</f>
        <v>346311.32099999994</v>
      </c>
      <c r="AD10" s="50">
        <f>1143.86+0.876</f>
        <v>1144.7359999999999</v>
      </c>
      <c r="AE10" s="50">
        <v>63.453000000000003</v>
      </c>
      <c r="AF10" s="50">
        <f>65350.508+40373.378</f>
        <v>105723.886</v>
      </c>
      <c r="AG10" s="18">
        <f>29651.292+209727.954</f>
        <v>239379.24599999998</v>
      </c>
      <c r="AH10" s="15">
        <f>AL10+AK10+AJ10+AI10</f>
        <v>307338.62400000001</v>
      </c>
      <c r="AI10" s="43">
        <v>1221.7760000000001</v>
      </c>
      <c r="AJ10" s="43">
        <v>113.374</v>
      </c>
      <c r="AK10" s="43">
        <v>94674.966</v>
      </c>
      <c r="AL10" s="44">
        <v>211328.508</v>
      </c>
      <c r="AM10" s="15">
        <f>AQ10+AP10+AO10+AN10</f>
        <v>328589.989</v>
      </c>
      <c r="AN10" s="43">
        <v>430.98700000000002</v>
      </c>
      <c r="AO10" s="43">
        <v>184.41</v>
      </c>
      <c r="AP10" s="43">
        <v>90426.02</v>
      </c>
      <c r="AQ10" s="44">
        <v>237548.57199999999</v>
      </c>
    </row>
    <row r="11" spans="1:46" s="2" customFormat="1" ht="39">
      <c r="A11" s="145" t="s">
        <v>43</v>
      </c>
      <c r="B11" s="93"/>
      <c r="C11" s="49" t="s">
        <v>4</v>
      </c>
      <c r="D11" s="15">
        <f>E11+F11+G11+H11</f>
        <v>20900.309000000001</v>
      </c>
      <c r="E11" s="22">
        <v>3972.3</v>
      </c>
      <c r="F11" s="22">
        <v>0</v>
      </c>
      <c r="G11" s="22">
        <f>12142.602+2026.69</f>
        <v>14169.292000000001</v>
      </c>
      <c r="H11" s="21">
        <f>1067.327+1591.39+100</f>
        <v>2758.7170000000001</v>
      </c>
      <c r="I11" s="15">
        <f>M11+L11+K11+J11</f>
        <v>35068.063000000002</v>
      </c>
      <c r="J11" s="43">
        <v>4492.9409999999998</v>
      </c>
      <c r="K11" s="43">
        <v>113.63800000000001</v>
      </c>
      <c r="L11" s="43">
        <v>30257.464</v>
      </c>
      <c r="M11" s="44">
        <v>204.02</v>
      </c>
      <c r="N11" s="15">
        <f>R11+Q11+P11+O11</f>
        <v>51450.498</v>
      </c>
      <c r="O11" s="43">
        <v>6576.3850000000002</v>
      </c>
      <c r="P11" s="43">
        <v>0</v>
      </c>
      <c r="Q11" s="43">
        <v>43780.292999999998</v>
      </c>
      <c r="R11" s="44">
        <v>1093.82</v>
      </c>
      <c r="S11" s="15">
        <f>W11+V11+U11+T11</f>
        <v>56419.896500000003</v>
      </c>
      <c r="T11" s="48">
        <v>2950.248</v>
      </c>
      <c r="U11" s="48">
        <v>89.474000000000004</v>
      </c>
      <c r="V11" s="48">
        <v>53171.458500000001</v>
      </c>
      <c r="W11" s="47">
        <v>208.71600000000001</v>
      </c>
      <c r="X11" s="15">
        <f>AB11+AA11+Z11+Y11</f>
        <v>50704.266000000003</v>
      </c>
      <c r="Y11" s="43">
        <v>6478.36</v>
      </c>
      <c r="Z11" s="43">
        <v>0</v>
      </c>
      <c r="AA11" s="43">
        <v>41522.603999999999</v>
      </c>
      <c r="AB11" s="44">
        <v>2703.3020000000001</v>
      </c>
      <c r="AC11" s="15">
        <f>AG11+AF11+AE11+AD11</f>
        <v>61264.221000000005</v>
      </c>
      <c r="AD11" s="46">
        <v>3344.5439999999999</v>
      </c>
      <c r="AE11" s="46">
        <v>0</v>
      </c>
      <c r="AF11" s="46">
        <v>57681.489000000001</v>
      </c>
      <c r="AG11" s="45">
        <v>238.18799999999999</v>
      </c>
      <c r="AH11" s="15">
        <f>AL11+AK11+AJ11+AI11</f>
        <v>62126.424999999996</v>
      </c>
      <c r="AI11" s="43">
        <v>4758.884</v>
      </c>
      <c r="AJ11" s="43">
        <f>'[3]1.6 2015 г'!$E$30*1000</f>
        <v>0</v>
      </c>
      <c r="AK11" s="43">
        <v>54578.063999999998</v>
      </c>
      <c r="AL11" s="44">
        <v>2789.4769999999999</v>
      </c>
      <c r="AM11" s="15">
        <f>AQ11+AP11+AO11+AN11</f>
        <v>65792.120999999999</v>
      </c>
      <c r="AN11" s="43">
        <v>4635.6840000000002</v>
      </c>
      <c r="AO11" s="43">
        <f>[4]год!H27</f>
        <v>0</v>
      </c>
      <c r="AP11" s="43">
        <v>60946.684000000001</v>
      </c>
      <c r="AQ11" s="44">
        <v>209.75299999999999</v>
      </c>
    </row>
    <row r="12" spans="1:46" s="2" customFormat="1" ht="19.5">
      <c r="A12" s="146" t="s">
        <v>58</v>
      </c>
      <c r="B12" s="94"/>
      <c r="C12" s="36" t="s">
        <v>3</v>
      </c>
      <c r="D12" s="41">
        <f>E12+F12+G12+H12</f>
        <v>257327.22699999998</v>
      </c>
      <c r="E12" s="35">
        <v>74333.922000000006</v>
      </c>
      <c r="F12" s="35">
        <v>80645.073000000004</v>
      </c>
      <c r="G12" s="35">
        <v>96540.909</v>
      </c>
      <c r="H12" s="34">
        <v>5807.3230000000003</v>
      </c>
      <c r="I12" s="41">
        <f>K12+L12+M12+J12</f>
        <v>238288.12500000003</v>
      </c>
      <c r="J12" s="40">
        <v>66520.587</v>
      </c>
      <c r="K12" s="40">
        <v>78104.865000000005</v>
      </c>
      <c r="L12" s="40">
        <v>88286.274000000005</v>
      </c>
      <c r="M12" s="39">
        <v>5376.3990000000003</v>
      </c>
      <c r="N12" s="41">
        <f>P12+Q12+R12+O12</f>
        <v>246574.55600000001</v>
      </c>
      <c r="O12" s="40">
        <v>72219.600000000006</v>
      </c>
      <c r="P12" s="40">
        <v>77400.995999999999</v>
      </c>
      <c r="Q12" s="40">
        <v>91689.620999999999</v>
      </c>
      <c r="R12" s="39">
        <v>5264.3389999999999</v>
      </c>
      <c r="S12" s="41">
        <f>U12+V12+W12+T12</f>
        <v>238208.56899999996</v>
      </c>
      <c r="T12" s="42">
        <v>68367.398000000001</v>
      </c>
      <c r="U12" s="42">
        <v>77003.798999999999</v>
      </c>
      <c r="V12" s="42">
        <v>87899.044999999998</v>
      </c>
      <c r="W12" s="42">
        <v>4938.3270000000002</v>
      </c>
      <c r="X12" s="41">
        <f>Z12+AA12+AB12+Y12</f>
        <v>244434.89600000001</v>
      </c>
      <c r="Y12" s="40">
        <v>67751.64</v>
      </c>
      <c r="Z12" s="40">
        <v>80453.646999999997</v>
      </c>
      <c r="AA12" s="40">
        <v>90739.835999999996</v>
      </c>
      <c r="AB12" s="39">
        <v>5489.7730000000001</v>
      </c>
      <c r="AC12" s="37">
        <f>AE12+AF12+AG12+AD12</f>
        <v>223696.70500000002</v>
      </c>
      <c r="AD12" s="38">
        <v>62720.36</v>
      </c>
      <c r="AE12" s="38">
        <v>75064.296000000002</v>
      </c>
      <c r="AF12" s="38">
        <v>81438.154999999999</v>
      </c>
      <c r="AG12" s="38">
        <v>4473.8940000000002</v>
      </c>
      <c r="AH12" s="107">
        <f>AJ12+AK12+AL12+AI12</f>
        <v>223850.31200000001</v>
      </c>
      <c r="AI12" s="108">
        <v>63922.125999999997</v>
      </c>
      <c r="AJ12" s="108">
        <v>74383.615000000005</v>
      </c>
      <c r="AK12" s="108">
        <v>81194.475000000006</v>
      </c>
      <c r="AL12" s="109">
        <v>4350.0959999999995</v>
      </c>
      <c r="AM12" s="97">
        <f>AO12+AP12+AQ12+AN12</f>
        <v>216879.98200000002</v>
      </c>
      <c r="AN12" s="98">
        <v>62466.69</v>
      </c>
      <c r="AO12" s="98">
        <v>71694.798999999999</v>
      </c>
      <c r="AP12" s="98">
        <v>78800.247000000003</v>
      </c>
      <c r="AQ12" s="143">
        <v>3918.2460000000001</v>
      </c>
      <c r="AR12" s="89"/>
      <c r="AS12" s="89"/>
      <c r="AT12" s="89"/>
    </row>
    <row r="13" spans="1:46" s="2" customFormat="1" ht="96" customHeight="1">
      <c r="A13" s="149">
        <v>2</v>
      </c>
      <c r="B13" s="95" t="s">
        <v>26</v>
      </c>
      <c r="C13" s="118" t="s">
        <v>30</v>
      </c>
      <c r="D13" s="29"/>
      <c r="E13" s="31"/>
      <c r="F13" s="31"/>
      <c r="G13" s="31"/>
      <c r="H13" s="30"/>
      <c r="I13" s="29"/>
      <c r="J13" s="31"/>
      <c r="K13" s="31"/>
      <c r="L13" s="31"/>
      <c r="M13" s="30"/>
      <c r="N13" s="29"/>
      <c r="O13" s="31"/>
      <c r="P13" s="31"/>
      <c r="Q13" s="31"/>
      <c r="R13" s="30"/>
      <c r="S13" s="29"/>
      <c r="T13" s="31"/>
      <c r="U13" s="31"/>
      <c r="V13" s="31"/>
      <c r="W13" s="30"/>
      <c r="X13" s="29"/>
      <c r="Y13" s="31"/>
      <c r="Z13" s="31"/>
      <c r="AA13" s="31"/>
      <c r="AB13" s="30"/>
      <c r="AC13" s="29"/>
      <c r="AD13" s="31"/>
      <c r="AE13" s="31"/>
      <c r="AF13" s="31"/>
      <c r="AG13" s="30"/>
      <c r="AH13" s="131">
        <f t="shared" ref="AH13:AQ13" si="1">SUM(AH14:AH16)</f>
        <v>6266.59</v>
      </c>
      <c r="AI13" s="132">
        <f t="shared" si="1"/>
        <v>0</v>
      </c>
      <c r="AJ13" s="132">
        <f t="shared" si="1"/>
        <v>0</v>
      </c>
      <c r="AK13" s="132">
        <f t="shared" si="1"/>
        <v>6035.866</v>
      </c>
      <c r="AL13" s="133">
        <f t="shared" si="1"/>
        <v>230.72399999999999</v>
      </c>
      <c r="AM13" s="135">
        <f t="shared" si="1"/>
        <v>2386.7750000000001</v>
      </c>
      <c r="AN13" s="136">
        <f t="shared" si="1"/>
        <v>0</v>
      </c>
      <c r="AO13" s="136">
        <f t="shared" si="1"/>
        <v>0</v>
      </c>
      <c r="AP13" s="136">
        <f t="shared" si="1"/>
        <v>2179.5590000000002</v>
      </c>
      <c r="AQ13" s="144">
        <f t="shared" si="1"/>
        <v>207.21600000000001</v>
      </c>
    </row>
    <row r="14" spans="1:46" s="2" customFormat="1" ht="27" customHeight="1">
      <c r="A14" s="147"/>
      <c r="B14" s="119"/>
      <c r="C14" s="125" t="s">
        <v>31</v>
      </c>
      <c r="D14" s="120"/>
      <c r="E14" s="22"/>
      <c r="F14" s="22"/>
      <c r="G14" s="22"/>
      <c r="H14" s="21"/>
      <c r="I14" s="120"/>
      <c r="J14" s="22"/>
      <c r="K14" s="22"/>
      <c r="L14" s="22"/>
      <c r="M14" s="21"/>
      <c r="N14" s="120"/>
      <c r="O14" s="22"/>
      <c r="P14" s="22"/>
      <c r="Q14" s="22"/>
      <c r="R14" s="21"/>
      <c r="S14" s="120"/>
      <c r="T14" s="22"/>
      <c r="U14" s="22"/>
      <c r="V14" s="22"/>
      <c r="W14" s="21"/>
      <c r="X14" s="120"/>
      <c r="Y14" s="22"/>
      <c r="Z14" s="22"/>
      <c r="AA14" s="22"/>
      <c r="AB14" s="21"/>
      <c r="AC14" s="120"/>
      <c r="AD14" s="22"/>
      <c r="AE14" s="22"/>
      <c r="AF14" s="22"/>
      <c r="AG14" s="21"/>
      <c r="AH14" s="126">
        <f>SUM(AI14:AL14)</f>
        <v>142.32399999999998</v>
      </c>
      <c r="AI14" s="124" t="s">
        <v>33</v>
      </c>
      <c r="AJ14" s="124" t="s">
        <v>33</v>
      </c>
      <c r="AK14" s="124" t="s">
        <v>33</v>
      </c>
      <c r="AL14" s="140">
        <f>48.364+93.96</f>
        <v>142.32399999999998</v>
      </c>
      <c r="AM14" s="126">
        <f>SUM(AN14:AQ14)</f>
        <v>137.07599999999999</v>
      </c>
      <c r="AN14" s="124" t="s">
        <v>33</v>
      </c>
      <c r="AO14" s="124" t="s">
        <v>33</v>
      </c>
      <c r="AP14" s="124" t="s">
        <v>33</v>
      </c>
      <c r="AQ14" s="140">
        <f>44.973+92.103</f>
        <v>137.07599999999999</v>
      </c>
      <c r="AS14" s="137"/>
      <c r="AT14" s="134"/>
    </row>
    <row r="15" spans="1:46" s="2" customFormat="1" ht="27" customHeight="1">
      <c r="A15" s="147"/>
      <c r="B15" s="119"/>
      <c r="C15" s="125" t="s">
        <v>52</v>
      </c>
      <c r="D15" s="120"/>
      <c r="E15" s="22"/>
      <c r="F15" s="22"/>
      <c r="G15" s="22"/>
      <c r="H15" s="21"/>
      <c r="I15" s="120"/>
      <c r="J15" s="22"/>
      <c r="K15" s="22"/>
      <c r="L15" s="22"/>
      <c r="M15" s="21"/>
      <c r="N15" s="120"/>
      <c r="O15" s="22"/>
      <c r="P15" s="22"/>
      <c r="Q15" s="22"/>
      <c r="R15" s="21"/>
      <c r="S15" s="120"/>
      <c r="T15" s="22"/>
      <c r="U15" s="22"/>
      <c r="V15" s="22"/>
      <c r="W15" s="21"/>
      <c r="X15" s="120"/>
      <c r="Y15" s="22"/>
      <c r="Z15" s="22"/>
      <c r="AA15" s="22"/>
      <c r="AB15" s="21"/>
      <c r="AC15" s="120"/>
      <c r="AD15" s="22"/>
      <c r="AE15" s="22"/>
      <c r="AF15" s="22"/>
      <c r="AG15" s="21"/>
      <c r="AH15" s="126">
        <f>SUM(AI15:AL15)</f>
        <v>88.4</v>
      </c>
      <c r="AI15" s="124" t="s">
        <v>33</v>
      </c>
      <c r="AJ15" s="124" t="s">
        <v>33</v>
      </c>
      <c r="AK15" s="124" t="s">
        <v>33</v>
      </c>
      <c r="AL15" s="129">
        <f>28.4+60</f>
        <v>88.4</v>
      </c>
      <c r="AM15" s="126">
        <f>SUM(AN15:AQ15)</f>
        <v>70.14</v>
      </c>
      <c r="AN15" s="124" t="s">
        <v>33</v>
      </c>
      <c r="AO15" s="124" t="s">
        <v>33</v>
      </c>
      <c r="AP15" s="124" t="s">
        <v>33</v>
      </c>
      <c r="AQ15" s="129">
        <f>23.28+46.86</f>
        <v>70.14</v>
      </c>
      <c r="AS15" s="138"/>
      <c r="AT15" s="134"/>
    </row>
    <row r="16" spans="1:46" s="2" customFormat="1" ht="27" customHeight="1">
      <c r="A16" s="147"/>
      <c r="B16" s="119"/>
      <c r="C16" s="125" t="s">
        <v>34</v>
      </c>
      <c r="D16" s="120"/>
      <c r="E16" s="22"/>
      <c r="F16" s="22"/>
      <c r="G16" s="22"/>
      <c r="H16" s="21"/>
      <c r="I16" s="120"/>
      <c r="J16" s="22"/>
      <c r="K16" s="22"/>
      <c r="L16" s="22"/>
      <c r="M16" s="21"/>
      <c r="N16" s="120"/>
      <c r="O16" s="22"/>
      <c r="P16" s="22"/>
      <c r="Q16" s="22"/>
      <c r="R16" s="21"/>
      <c r="S16" s="120"/>
      <c r="T16" s="22"/>
      <c r="U16" s="22"/>
      <c r="V16" s="22"/>
      <c r="W16" s="21"/>
      <c r="X16" s="120"/>
      <c r="Y16" s="22"/>
      <c r="Z16" s="22"/>
      <c r="AA16" s="22"/>
      <c r="AB16" s="21"/>
      <c r="AC16" s="120"/>
      <c r="AD16" s="22"/>
      <c r="AE16" s="22"/>
      <c r="AF16" s="22"/>
      <c r="AG16" s="21"/>
      <c r="AH16" s="126">
        <f>SUM(AI16:AL16)</f>
        <v>6035.866</v>
      </c>
      <c r="AI16" s="124" t="s">
        <v>33</v>
      </c>
      <c r="AJ16" s="124" t="s">
        <v>33</v>
      </c>
      <c r="AK16" s="139">
        <f>2255.977+3779.889</f>
        <v>6035.866</v>
      </c>
      <c r="AL16" s="121" t="s">
        <v>33</v>
      </c>
      <c r="AM16" s="126">
        <f>SUM(AN16:AQ16)</f>
        <v>2179.5590000000002</v>
      </c>
      <c r="AN16" s="124" t="s">
        <v>33</v>
      </c>
      <c r="AO16" s="124" t="s">
        <v>33</v>
      </c>
      <c r="AP16" s="127">
        <f>732.683+1446.876</f>
        <v>2179.5590000000002</v>
      </c>
      <c r="AQ16" s="121" t="s">
        <v>33</v>
      </c>
      <c r="AS16" s="138"/>
      <c r="AT16" s="134"/>
    </row>
    <row r="17" spans="1:46" s="2" customFormat="1" ht="78">
      <c r="A17" s="149">
        <v>3</v>
      </c>
      <c r="B17" s="95" t="s">
        <v>27</v>
      </c>
      <c r="C17" s="32" t="s">
        <v>2</v>
      </c>
      <c r="D17" s="29"/>
      <c r="E17" s="31"/>
      <c r="F17" s="31"/>
      <c r="G17" s="31"/>
      <c r="H17" s="30"/>
      <c r="I17" s="29"/>
      <c r="J17" s="31"/>
      <c r="K17" s="31"/>
      <c r="L17" s="31"/>
      <c r="M17" s="30"/>
      <c r="N17" s="29"/>
      <c r="O17" s="31"/>
      <c r="P17" s="31"/>
      <c r="Q17" s="31"/>
      <c r="R17" s="30"/>
      <c r="S17" s="29"/>
      <c r="T17" s="31"/>
      <c r="U17" s="31"/>
      <c r="V17" s="31"/>
      <c r="W17" s="30"/>
      <c r="X17" s="29"/>
      <c r="Y17" s="31"/>
      <c r="Z17" s="31"/>
      <c r="AA17" s="31"/>
      <c r="AB17" s="30"/>
      <c r="AC17" s="29"/>
      <c r="AD17" s="31"/>
      <c r="AE17" s="31"/>
      <c r="AF17" s="31"/>
      <c r="AG17" s="30"/>
      <c r="AH17" s="29"/>
      <c r="AI17" s="28"/>
      <c r="AJ17" s="122"/>
      <c r="AK17" s="28"/>
      <c r="AL17" s="123"/>
      <c r="AM17" s="29"/>
      <c r="AN17" s="28"/>
      <c r="AO17" s="28"/>
      <c r="AP17" s="28"/>
      <c r="AQ17" s="27"/>
      <c r="AS17" s="138"/>
      <c r="AT17" s="134"/>
    </row>
    <row r="18" spans="1:46" s="2" customFormat="1" ht="39">
      <c r="A18" s="145" t="s">
        <v>41</v>
      </c>
      <c r="B18" s="4"/>
      <c r="C18" s="26" t="s">
        <v>1</v>
      </c>
      <c r="D18" s="17">
        <f>D8-D10-D11-D12</f>
        <v>17229.160999999993</v>
      </c>
      <c r="E18" s="22">
        <v>4387.8900000000003</v>
      </c>
      <c r="F18" s="25">
        <v>0</v>
      </c>
      <c r="G18" s="22">
        <v>6830.799</v>
      </c>
      <c r="H18" s="21">
        <v>6010.4960000000001</v>
      </c>
      <c r="I18" s="17">
        <f>I8-I10-I11-I12</f>
        <v>22058.714000000036</v>
      </c>
      <c r="J18" s="22">
        <v>2527.2170000000001</v>
      </c>
      <c r="K18" s="22">
        <v>3299.098</v>
      </c>
      <c r="L18" s="22">
        <v>8751.4110000000001</v>
      </c>
      <c r="M18" s="21">
        <v>7480.9880000000003</v>
      </c>
      <c r="N18" s="17">
        <f>N8-N10-N11-N12</f>
        <v>26667.33699999997</v>
      </c>
      <c r="O18" s="22">
        <v>5737.6019999999999</v>
      </c>
      <c r="P18" s="22">
        <v>0</v>
      </c>
      <c r="Q18" s="22">
        <v>14125.796</v>
      </c>
      <c r="R18" s="21">
        <v>6803.94</v>
      </c>
      <c r="S18" s="17">
        <f>S8-S10-S11-S12</f>
        <v>20463.554999999964</v>
      </c>
      <c r="T18" s="24">
        <v>2500.0495999999998</v>
      </c>
      <c r="U18" s="24">
        <v>3349.6206999999999</v>
      </c>
      <c r="V18" s="24">
        <v>7661.7703000000001</v>
      </c>
      <c r="W18" s="23">
        <v>6952.1134000000002</v>
      </c>
      <c r="X18" s="17">
        <f>X8-X10-X11-X12</f>
        <v>16981.399999999965</v>
      </c>
      <c r="Y18" s="22">
        <v>564.71</v>
      </c>
      <c r="Z18" s="22">
        <v>0</v>
      </c>
      <c r="AA18" s="22">
        <f>8751.41+184.29</f>
        <v>8935.7000000000007</v>
      </c>
      <c r="AB18" s="21">
        <v>7480.99</v>
      </c>
      <c r="AC18" s="15">
        <f>AC8-AC10-AC11-AC12</f>
        <v>20943.373000000021</v>
      </c>
      <c r="AD18" s="19">
        <v>504.80599999999998</v>
      </c>
      <c r="AE18" s="19">
        <v>0</v>
      </c>
      <c r="AF18" s="19">
        <f>7412.6874+332.772</f>
        <v>7745.4593999999997</v>
      </c>
      <c r="AG18" s="18">
        <v>12693.108</v>
      </c>
      <c r="AH18" s="17">
        <v>15103.518709999946</v>
      </c>
      <c r="AI18" s="14">
        <v>303.92388</v>
      </c>
      <c r="AJ18" s="14">
        <v>185.71113</v>
      </c>
      <c r="AK18" s="14">
        <v>7661.7703000000001</v>
      </c>
      <c r="AL18" s="16">
        <v>6952.1134000000002</v>
      </c>
      <c r="AM18" s="15">
        <f>AM8-AM10-AM11-AM12</f>
        <v>25906.81170000002</v>
      </c>
      <c r="AN18" s="14">
        <v>326.42500000000001</v>
      </c>
      <c r="AO18" s="14">
        <v>259.07</v>
      </c>
      <c r="AP18" s="14">
        <v>10077.748</v>
      </c>
      <c r="AQ18" s="16">
        <v>15243.569</v>
      </c>
      <c r="AS18" s="138"/>
    </row>
    <row r="19" spans="1:46" s="2" customFormat="1" ht="39.75" thickBot="1">
      <c r="A19" s="150" t="s">
        <v>44</v>
      </c>
      <c r="B19" s="96"/>
      <c r="C19" s="13" t="s">
        <v>0</v>
      </c>
      <c r="D19" s="10">
        <f t="shared" ref="D19:I19" si="2">D18/(D8-D12)</f>
        <v>5.5541930875890558E-2</v>
      </c>
      <c r="E19" s="9">
        <f t="shared" si="2"/>
        <v>8.1168721259808618E-2</v>
      </c>
      <c r="F19" s="9">
        <f t="shared" si="2"/>
        <v>0</v>
      </c>
      <c r="G19" s="9">
        <f t="shared" si="2"/>
        <v>2.483363492612118E-2</v>
      </c>
      <c r="H19" s="8">
        <f t="shared" si="2"/>
        <v>3.1980791059347154E-2</v>
      </c>
      <c r="I19" s="10">
        <f t="shared" si="2"/>
        <v>4.8303578404562932E-2</v>
      </c>
      <c r="J19" s="9"/>
      <c r="K19" s="9"/>
      <c r="L19" s="9"/>
      <c r="M19" s="8"/>
      <c r="N19" s="10">
        <f>N18/(N8-N12)</f>
        <v>5.5538203889859743E-2</v>
      </c>
      <c r="O19" s="9">
        <f>O18/(O8-O12)</f>
        <v>8.302799426395889E-2</v>
      </c>
      <c r="P19" s="9">
        <v>0</v>
      </c>
      <c r="Q19" s="9">
        <f>Q18/(Q8-Q12)</f>
        <v>3.118723728992992E-2</v>
      </c>
      <c r="R19" s="8">
        <f>R18/(R8-R12)</f>
        <v>2.4556967147678275E-2</v>
      </c>
      <c r="S19" s="10">
        <f>S18/(S8-S12)</f>
        <v>4.5656316905610915E-2</v>
      </c>
      <c r="T19" s="12">
        <f>T18/(T8-T12)</f>
        <v>0.29376809208342436</v>
      </c>
      <c r="U19" s="12">
        <v>0</v>
      </c>
      <c r="V19" s="12">
        <f>V18/(V8-V12)</f>
        <v>3.7014943530940689E-2</v>
      </c>
      <c r="W19" s="11">
        <f>W18/(W8-W12)</f>
        <v>2.9890771220998567E-2</v>
      </c>
      <c r="X19" s="10">
        <f>X18/(X8-X12)</f>
        <v>3.6151416439847935E-2</v>
      </c>
      <c r="Y19" s="9">
        <f>Y18/(Y8-Y12)</f>
        <v>4.873664965675234E-2</v>
      </c>
      <c r="Z19" s="9">
        <v>0</v>
      </c>
      <c r="AA19" s="9">
        <f t="shared" ref="AA19:AH19" si="3">AA18/(AA8-AA12)</f>
        <v>4.3556259259945843E-2</v>
      </c>
      <c r="AB19" s="8">
        <f t="shared" si="3"/>
        <v>2.9570318507065707E-2</v>
      </c>
      <c r="AC19" s="10">
        <f t="shared" si="3"/>
        <v>4.8873858928724354E-2</v>
      </c>
      <c r="AD19" s="12">
        <f t="shared" si="3"/>
        <v>4.456017476419933E-2</v>
      </c>
      <c r="AE19" s="12">
        <f t="shared" si="3"/>
        <v>0</v>
      </c>
      <c r="AF19" s="12">
        <f t="shared" si="3"/>
        <v>3.9795964294537647E-2</v>
      </c>
      <c r="AG19" s="11">
        <f t="shared" si="3"/>
        <v>5.704803946078147E-2</v>
      </c>
      <c r="AH19" s="86">
        <f t="shared" si="3"/>
        <v>3.5635298873411332E-2</v>
      </c>
      <c r="AI19" s="87">
        <f>AI18/(AI7-AI12)</f>
        <v>4.1684966241121994E-2</v>
      </c>
      <c r="AJ19" s="87">
        <f>AJ18/(AJ7-AJ12)</f>
        <v>4.8968255600557134E-2</v>
      </c>
      <c r="AK19" s="87">
        <f>AK18/(AK7-AK12)</f>
        <v>4.1432322644023405E-2</v>
      </c>
      <c r="AL19" s="88">
        <f>AL18/(AL7-AL12)</f>
        <v>2.7859136791497773E-2</v>
      </c>
      <c r="AM19" s="86">
        <f>AM18/(AM8-AM12)</f>
        <v>6.1640481969429985E-2</v>
      </c>
      <c r="AN19" s="87">
        <f>AN18/(AN7-AN12)</f>
        <v>1.5756930731296762E-2</v>
      </c>
      <c r="AO19" s="87">
        <f>AO18/(AO7-AO12)</f>
        <v>0.58417516009741677</v>
      </c>
      <c r="AP19" s="87">
        <f>AP18/(AP7-AP12)</f>
        <v>5.1729446995150023E-2</v>
      </c>
      <c r="AQ19" s="88">
        <f>AQ18/(AQ7-AQ12)</f>
        <v>6.0250809822000775E-2</v>
      </c>
    </row>
    <row r="20" spans="1:46" s="2" customFormat="1">
      <c r="A20" s="4"/>
      <c r="B20" s="4"/>
      <c r="C20" s="4"/>
      <c r="D20" s="7"/>
      <c r="E20" s="7"/>
      <c r="F20" s="6"/>
    </row>
    <row r="21" spans="1:46" s="2" customFormat="1">
      <c r="A21" s="4"/>
      <c r="B21" s="4"/>
      <c r="C21" s="4"/>
      <c r="D21" s="7"/>
      <c r="E21" s="7"/>
      <c r="F21" s="6"/>
      <c r="AC21" s="5" t="e">
        <f>AC7-AC8</f>
        <v>#REF!</v>
      </c>
    </row>
    <row r="22" spans="1:46" s="2" customFormat="1">
      <c r="A22" s="4"/>
      <c r="B22" s="4"/>
      <c r="C22" s="4"/>
    </row>
    <row r="23" spans="1:46" s="2" customFormat="1">
      <c r="A23" s="4"/>
      <c r="B23" s="4"/>
      <c r="C23" s="3"/>
    </row>
    <row r="24" spans="1:46" s="2" customFormat="1">
      <c r="A24" s="4"/>
      <c r="B24" s="4"/>
      <c r="C24" s="3"/>
    </row>
    <row r="25" spans="1:46" s="2" customFormat="1">
      <c r="A25" s="4"/>
      <c r="B25" s="4"/>
      <c r="C25" s="3"/>
    </row>
    <row r="26" spans="1:46" s="2" customFormat="1">
      <c r="A26" s="4"/>
      <c r="B26" s="4"/>
      <c r="C26" s="3"/>
    </row>
    <row r="27" spans="1:46" s="2" customFormat="1">
      <c r="A27" s="4"/>
      <c r="B27" s="4"/>
      <c r="C27" s="4"/>
    </row>
    <row r="28" spans="1:46" s="2" customFormat="1">
      <c r="A28" s="4"/>
      <c r="B28" s="4"/>
      <c r="C28" s="4"/>
    </row>
    <row r="29" spans="1:46" s="2" customFormat="1">
      <c r="A29" s="4"/>
      <c r="B29" s="4"/>
      <c r="C29" s="4"/>
    </row>
    <row r="30" spans="1:46" s="2" customFormat="1">
      <c r="A30" s="4"/>
      <c r="B30" s="4"/>
      <c r="C30" s="4"/>
    </row>
    <row r="31" spans="1:46" s="2" customFormat="1">
      <c r="A31" s="4"/>
      <c r="B31" s="4"/>
      <c r="C31" s="3"/>
    </row>
    <row r="32" spans="1:46" s="2" customFormat="1">
      <c r="A32" s="4"/>
      <c r="B32" s="4"/>
      <c r="C32" s="3"/>
    </row>
    <row r="33" spans="1:3" s="2" customFormat="1">
      <c r="A33" s="4"/>
      <c r="B33" s="4"/>
      <c r="C33" s="3"/>
    </row>
    <row r="34" spans="1:3" s="2" customFormat="1">
      <c r="A34" s="4"/>
      <c r="B34" s="4"/>
      <c r="C34" s="3"/>
    </row>
    <row r="35" spans="1:3" s="2" customFormat="1">
      <c r="A35" s="4"/>
      <c r="B35" s="4"/>
      <c r="C35" s="3"/>
    </row>
    <row r="36" spans="1:3" s="2" customFormat="1">
      <c r="A36" s="4"/>
      <c r="B36" s="4"/>
      <c r="C36" s="3"/>
    </row>
    <row r="37" spans="1:3" s="2" customFormat="1">
      <c r="A37" s="4"/>
      <c r="B37" s="4"/>
      <c r="C37" s="3"/>
    </row>
    <row r="38" spans="1:3" s="2" customFormat="1">
      <c r="A38" s="4"/>
      <c r="B38" s="4"/>
      <c r="C38" s="3"/>
    </row>
    <row r="39" spans="1:3" s="2" customFormat="1"/>
    <row r="40" spans="1:3" s="2" customFormat="1"/>
    <row r="41" spans="1:3" s="2" customFormat="1"/>
    <row r="42" spans="1:3" s="2" customFormat="1"/>
    <row r="43" spans="1:3" s="2" customFormat="1"/>
    <row r="44" spans="1:3" s="2" customFormat="1"/>
    <row r="45" spans="1:3" s="2" customFormat="1"/>
    <row r="46" spans="1:3" s="2" customFormat="1"/>
    <row r="47" spans="1:3" s="2" customFormat="1"/>
    <row r="48" spans="1:3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</sheetData>
  <mergeCells count="11">
    <mergeCell ref="B4:B5"/>
    <mergeCell ref="AC4:AG4"/>
    <mergeCell ref="AH4:AL4"/>
    <mergeCell ref="AM4:AQ4"/>
    <mergeCell ref="A4:A5"/>
    <mergeCell ref="C4:C5"/>
    <mergeCell ref="S4:W4"/>
    <mergeCell ref="X4:AB4"/>
    <mergeCell ref="D4:H4"/>
    <mergeCell ref="I4:M4"/>
    <mergeCell ref="N4:R4"/>
  </mergeCells>
  <printOptions horizontalCentered="1"/>
  <pageMargins left="0.35433070866141736" right="0.35433070866141736" top="0.98425196850393704" bottom="0.39370078740157483" header="0.51181102362204722" footer="0.51181102362204722"/>
  <pageSetup paperSize="8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P188"/>
  <sheetViews>
    <sheetView view="pageBreakPreview" zoomScale="77" zoomScaleNormal="100" zoomScaleSheetLayoutView="77" workbookViewId="0">
      <selection activeCell="AN9" sqref="AN9"/>
    </sheetView>
  </sheetViews>
  <sheetFormatPr defaultRowHeight="18.75"/>
  <cols>
    <col min="1" max="1" width="6.85546875" style="1" customWidth="1"/>
    <col min="2" max="2" width="66.7109375" style="1" customWidth="1"/>
    <col min="3" max="3" width="17.7109375" style="1" hidden="1" customWidth="1"/>
    <col min="4" max="4" width="18.28515625" style="1" hidden="1" customWidth="1"/>
    <col min="5" max="5" width="16.7109375" style="1" hidden="1" customWidth="1"/>
    <col min="6" max="6" width="18.140625" style="1" hidden="1" customWidth="1"/>
    <col min="7" max="7" width="20.7109375" style="1" hidden="1" customWidth="1"/>
    <col min="8" max="8" width="17.28515625" style="1" hidden="1" customWidth="1"/>
    <col min="9" max="9" width="15.42578125" style="1" hidden="1" customWidth="1"/>
    <col min="10" max="10" width="14.5703125" style="1" hidden="1" customWidth="1"/>
    <col min="11" max="12" width="17.5703125" style="1" hidden="1" customWidth="1"/>
    <col min="13" max="13" width="19.5703125" style="1" hidden="1" customWidth="1"/>
    <col min="14" max="14" width="20.42578125" style="1" hidden="1" customWidth="1"/>
    <col min="15" max="15" width="16.140625" style="1" hidden="1" customWidth="1"/>
    <col min="16" max="16" width="15.85546875" style="1" hidden="1" customWidth="1"/>
    <col min="17" max="17" width="19.42578125" style="1" hidden="1" customWidth="1"/>
    <col min="18" max="18" width="16" style="1" hidden="1" customWidth="1"/>
    <col min="19" max="19" width="15.28515625" style="1" hidden="1" customWidth="1"/>
    <col min="20" max="20" width="14.42578125" style="1" hidden="1" customWidth="1"/>
    <col min="21" max="21" width="14.85546875" style="1" hidden="1" customWidth="1"/>
    <col min="22" max="22" width="15.42578125" style="1" hidden="1" customWidth="1"/>
    <col min="23" max="32" width="18.42578125" style="1" hidden="1" customWidth="1"/>
    <col min="33" max="37" width="18.42578125" style="1" customWidth="1"/>
    <col min="38" max="38" width="20.140625" style="1" customWidth="1"/>
    <col min="39" max="39" width="21" style="1" customWidth="1"/>
    <col min="40" max="40" width="21.28515625" style="1" customWidth="1"/>
    <col min="41" max="41" width="22.5703125" style="1" customWidth="1"/>
    <col min="42" max="42" width="22.42578125" style="1" customWidth="1"/>
    <col min="43" max="43" width="4.42578125" style="1" customWidth="1"/>
    <col min="44" max="16384" width="9.140625" style="1"/>
  </cols>
  <sheetData>
    <row r="1" spans="1:42" s="92" customFormat="1" ht="23.25">
      <c r="A1" s="117" t="s">
        <v>46</v>
      </c>
      <c r="B1" s="91"/>
      <c r="C1" s="91"/>
      <c r="D1" s="91"/>
      <c r="E1" s="91"/>
      <c r="F1" s="91"/>
      <c r="G1" s="91"/>
    </row>
    <row r="2" spans="1:42" s="92" customFormat="1" ht="23.25">
      <c r="A2" s="117" t="s">
        <v>23</v>
      </c>
      <c r="B2" s="91"/>
      <c r="C2" s="91"/>
      <c r="D2" s="91"/>
      <c r="E2" s="91"/>
      <c r="F2" s="91"/>
      <c r="G2" s="91"/>
    </row>
    <row r="3" spans="1:42" s="92" customFormat="1" ht="21" thickBot="1">
      <c r="A3" s="90"/>
      <c r="B3" s="91"/>
      <c r="C3" s="91"/>
      <c r="D3" s="91"/>
      <c r="E3" s="91"/>
      <c r="F3" s="91"/>
      <c r="G3" s="91"/>
      <c r="AG3" s="151">
        <f>AG13+AG16+AG25</f>
        <v>634460.87439999997</v>
      </c>
    </row>
    <row r="4" spans="1:42" ht="31.5" customHeight="1">
      <c r="A4" s="293" t="s">
        <v>18</v>
      </c>
      <c r="B4" s="295" t="s">
        <v>17</v>
      </c>
      <c r="C4" s="289" t="s">
        <v>16</v>
      </c>
      <c r="D4" s="287"/>
      <c r="E4" s="287"/>
      <c r="F4" s="287"/>
      <c r="G4" s="288"/>
      <c r="H4" s="286" t="s">
        <v>15</v>
      </c>
      <c r="I4" s="287"/>
      <c r="J4" s="287"/>
      <c r="K4" s="287"/>
      <c r="L4" s="288"/>
      <c r="M4" s="289" t="s">
        <v>14</v>
      </c>
      <c r="N4" s="287"/>
      <c r="O4" s="287"/>
      <c r="P4" s="287"/>
      <c r="Q4" s="288"/>
      <c r="R4" s="286" t="s">
        <v>13</v>
      </c>
      <c r="S4" s="287"/>
      <c r="T4" s="287"/>
      <c r="U4" s="287"/>
      <c r="V4" s="288"/>
      <c r="W4" s="289" t="s">
        <v>12</v>
      </c>
      <c r="X4" s="287"/>
      <c r="Y4" s="287"/>
      <c r="Z4" s="287"/>
      <c r="AA4" s="288"/>
      <c r="AB4" s="286" t="s">
        <v>11</v>
      </c>
      <c r="AC4" s="287"/>
      <c r="AD4" s="287"/>
      <c r="AE4" s="287"/>
      <c r="AF4" s="288"/>
      <c r="AG4" s="289" t="s">
        <v>28</v>
      </c>
      <c r="AH4" s="287"/>
      <c r="AI4" s="287"/>
      <c r="AJ4" s="287"/>
      <c r="AK4" s="288"/>
      <c r="AL4" s="289" t="s">
        <v>45</v>
      </c>
      <c r="AM4" s="287"/>
      <c r="AN4" s="287"/>
      <c r="AO4" s="287"/>
      <c r="AP4" s="288"/>
    </row>
    <row r="5" spans="1:42" s="2" customFormat="1" ht="54" customHeight="1" thickBot="1">
      <c r="A5" s="294"/>
      <c r="B5" s="296"/>
      <c r="C5" s="82" t="s">
        <v>10</v>
      </c>
      <c r="D5" s="81" t="s">
        <v>9</v>
      </c>
      <c r="E5" s="81" t="s">
        <v>8</v>
      </c>
      <c r="F5" s="81" t="s">
        <v>7</v>
      </c>
      <c r="G5" s="80" t="s">
        <v>6</v>
      </c>
      <c r="H5" s="83" t="s">
        <v>10</v>
      </c>
      <c r="I5" s="81" t="s">
        <v>9</v>
      </c>
      <c r="J5" s="81" t="s">
        <v>8</v>
      </c>
      <c r="K5" s="81" t="s">
        <v>7</v>
      </c>
      <c r="L5" s="80" t="s">
        <v>6</v>
      </c>
      <c r="M5" s="82" t="s">
        <v>10</v>
      </c>
      <c r="N5" s="81" t="s">
        <v>9</v>
      </c>
      <c r="O5" s="81" t="s">
        <v>8</v>
      </c>
      <c r="P5" s="81" t="s">
        <v>7</v>
      </c>
      <c r="Q5" s="80" t="s">
        <v>6</v>
      </c>
      <c r="R5" s="83" t="s">
        <v>10</v>
      </c>
      <c r="S5" s="81" t="s">
        <v>9</v>
      </c>
      <c r="T5" s="81" t="s">
        <v>8</v>
      </c>
      <c r="U5" s="81" t="s">
        <v>7</v>
      </c>
      <c r="V5" s="80" t="s">
        <v>6</v>
      </c>
      <c r="W5" s="82" t="s">
        <v>10</v>
      </c>
      <c r="X5" s="81" t="s">
        <v>9</v>
      </c>
      <c r="Y5" s="81" t="s">
        <v>8</v>
      </c>
      <c r="Z5" s="81" t="s">
        <v>7</v>
      </c>
      <c r="AA5" s="80" t="s">
        <v>6</v>
      </c>
      <c r="AB5" s="83" t="s">
        <v>10</v>
      </c>
      <c r="AC5" s="81" t="s">
        <v>9</v>
      </c>
      <c r="AD5" s="81" t="s">
        <v>8</v>
      </c>
      <c r="AE5" s="81" t="s">
        <v>7</v>
      </c>
      <c r="AF5" s="80" t="s">
        <v>6</v>
      </c>
      <c r="AG5" s="82" t="s">
        <v>10</v>
      </c>
      <c r="AH5" s="81" t="s">
        <v>9</v>
      </c>
      <c r="AI5" s="81" t="s">
        <v>8</v>
      </c>
      <c r="AJ5" s="81" t="s">
        <v>7</v>
      </c>
      <c r="AK5" s="80" t="s">
        <v>6</v>
      </c>
      <c r="AL5" s="82" t="s">
        <v>10</v>
      </c>
      <c r="AM5" s="81" t="s">
        <v>9</v>
      </c>
      <c r="AN5" s="81" t="s">
        <v>8</v>
      </c>
      <c r="AO5" s="81" t="s">
        <v>7</v>
      </c>
      <c r="AP5" s="80" t="s">
        <v>6</v>
      </c>
    </row>
    <row r="6" spans="1:42" s="2" customFormat="1" ht="136.5">
      <c r="A6" s="148">
        <v>1</v>
      </c>
      <c r="B6" s="79" t="s">
        <v>47</v>
      </c>
      <c r="C6" s="78"/>
      <c r="D6" s="77"/>
      <c r="E6" s="77"/>
      <c r="F6" s="77"/>
      <c r="G6" s="76"/>
      <c r="H6" s="75"/>
      <c r="I6" s="72"/>
      <c r="J6" s="72"/>
      <c r="K6" s="72"/>
      <c r="L6" s="74"/>
      <c r="M6" s="75"/>
      <c r="N6" s="72"/>
      <c r="O6" s="72"/>
      <c r="P6" s="72"/>
      <c r="Q6" s="74"/>
      <c r="R6" s="75"/>
      <c r="S6" s="72"/>
      <c r="T6" s="72"/>
      <c r="U6" s="72"/>
      <c r="V6" s="74"/>
      <c r="W6" s="75"/>
      <c r="X6" s="72"/>
      <c r="Y6" s="72"/>
      <c r="Z6" s="72"/>
      <c r="AA6" s="74"/>
      <c r="AB6" s="71"/>
      <c r="AC6" s="73"/>
      <c r="AD6" s="73"/>
      <c r="AE6" s="73"/>
      <c r="AF6" s="73"/>
      <c r="AG6" s="152"/>
      <c r="AH6" s="154"/>
      <c r="AI6" s="154"/>
      <c r="AJ6" s="154"/>
      <c r="AK6" s="153"/>
      <c r="AL6" s="71"/>
      <c r="AM6" s="72"/>
      <c r="AN6" s="72"/>
      <c r="AO6" s="72"/>
      <c r="AP6" s="74"/>
    </row>
    <row r="7" spans="1:42" s="2" customFormat="1" ht="60" customHeight="1">
      <c r="A7" s="145" t="s">
        <v>38</v>
      </c>
      <c r="B7" s="69" t="s">
        <v>35</v>
      </c>
      <c r="C7" s="65"/>
      <c r="D7" s="64"/>
      <c r="E7" s="64"/>
      <c r="F7" s="64"/>
      <c r="G7" s="68"/>
      <c r="H7" s="65"/>
      <c r="I7" s="67"/>
      <c r="J7" s="67"/>
      <c r="K7" s="67"/>
      <c r="L7" s="66"/>
      <c r="M7" s="65"/>
      <c r="N7" s="67"/>
      <c r="O7" s="67"/>
      <c r="P7" s="67"/>
      <c r="Q7" s="66"/>
      <c r="R7" s="65"/>
      <c r="S7" s="64"/>
      <c r="T7" s="64"/>
      <c r="U7" s="64"/>
      <c r="V7" s="63"/>
      <c r="W7" s="33"/>
      <c r="X7" s="40"/>
      <c r="Y7" s="40"/>
      <c r="Z7" s="40"/>
      <c r="AA7" s="39"/>
      <c r="AB7" s="37" t="e">
        <f>SUM(AC7:AF7)</f>
        <v>#REF!</v>
      </c>
      <c r="AC7" s="35" t="e">
        <f>('[2]Отпуск ЭЭ сет организациями'!$G$15+'[2]Отпуск ЭЭ сет организациями'!$G$19)</f>
        <v>#REF!</v>
      </c>
      <c r="AD7" s="35">
        <f>('[2]Отпуск ЭЭ сет организациями'!$H$15+'[2]Отпуск ЭЭ сет организациями'!$H$19)</f>
        <v>75126.722999999998</v>
      </c>
      <c r="AE7" s="35">
        <f>('[2]Отпуск ЭЭ сет организациями'!$I$15+'[2]Отпуск ЭЭ сет организациями'!$I$19)</f>
        <v>282068.17450000002</v>
      </c>
      <c r="AF7" s="62">
        <f>'[2]Отпуск ЭЭ сет организациями'!$J$15+'[2]Отпуск ЭЭ сет организациями'!$J$19</f>
        <v>256784.43510000003</v>
      </c>
      <c r="AG7" s="113">
        <f>SUM(AH7:AK7)</f>
        <v>656098.12612384662</v>
      </c>
      <c r="AH7" s="105">
        <v>72145.606475946654</v>
      </c>
      <c r="AI7" s="105">
        <v>76859.763399999996</v>
      </c>
      <c r="AJ7" s="105">
        <v>263347.5548479</v>
      </c>
      <c r="AK7" s="106">
        <v>243745.20139999999</v>
      </c>
      <c r="AL7" s="113">
        <f>AL8+AL9</f>
        <v>695183.48800000001</v>
      </c>
      <c r="AM7" s="105">
        <f>AM8+AM9</f>
        <v>85785.226999999999</v>
      </c>
      <c r="AN7" s="105">
        <f t="shared" ref="AN7:AO7" si="0">AN8+AN9</f>
        <v>72540.918000000005</v>
      </c>
      <c r="AO7" s="105">
        <f t="shared" si="0"/>
        <v>284195.85200000001</v>
      </c>
      <c r="AP7" s="106">
        <f>AP8+AP9</f>
        <v>252661.49100000001</v>
      </c>
    </row>
    <row r="8" spans="1:42" s="2" customFormat="1" ht="39">
      <c r="A8" s="145" t="s">
        <v>39</v>
      </c>
      <c r="B8" s="61" t="s">
        <v>37</v>
      </c>
      <c r="C8" s="60">
        <v>567528.19999999995</v>
      </c>
      <c r="D8" s="59">
        <v>128392.8</v>
      </c>
      <c r="E8" s="59">
        <v>80645.14</v>
      </c>
      <c r="F8" s="59">
        <v>371603.3</v>
      </c>
      <c r="G8" s="58">
        <v>193748.14</v>
      </c>
      <c r="H8" s="55">
        <f>L8+K8+J8+I8</f>
        <v>694956.44500000007</v>
      </c>
      <c r="I8" s="54">
        <v>80638.356</v>
      </c>
      <c r="J8" s="54">
        <v>78310.013000000006</v>
      </c>
      <c r="K8" s="54">
        <v>285521.33399999997</v>
      </c>
      <c r="L8" s="56">
        <v>250486.742</v>
      </c>
      <c r="M8" s="55">
        <v>726736.59100000001</v>
      </c>
      <c r="N8" s="54">
        <v>141324.02737854503</v>
      </c>
      <c r="O8" s="54">
        <v>77400.995999999999</v>
      </c>
      <c r="P8" s="54">
        <v>544624.77099999995</v>
      </c>
      <c r="Q8" s="56">
        <v>282331.94099999999</v>
      </c>
      <c r="R8" s="55">
        <f>S8+T8+U8+V8</f>
        <v>686417.19349999994</v>
      </c>
      <c r="S8" s="48">
        <v>76877.680999999997</v>
      </c>
      <c r="T8" s="48">
        <v>77126.925000000003</v>
      </c>
      <c r="U8" s="48">
        <v>294890.31849999999</v>
      </c>
      <c r="V8" s="48">
        <v>237522.269</v>
      </c>
      <c r="W8" s="55">
        <f>X8+Y8+Z8+AA8</f>
        <v>714164.76199999999</v>
      </c>
      <c r="X8" s="54">
        <v>79338.607999999993</v>
      </c>
      <c r="Y8" s="54">
        <v>80453.646999999997</v>
      </c>
      <c r="Z8" s="54">
        <v>295892.89899999998</v>
      </c>
      <c r="AA8" s="56">
        <v>258479.60800000001</v>
      </c>
      <c r="AB8" s="57">
        <f>SUM(AC8:AF8)</f>
        <v>652215.62</v>
      </c>
      <c r="AC8" s="46">
        <v>74048.995999999999</v>
      </c>
      <c r="AD8" s="46">
        <v>75126.722999999998</v>
      </c>
      <c r="AE8" s="46">
        <v>276067.42300000001</v>
      </c>
      <c r="AF8" s="46">
        <v>226972.478</v>
      </c>
      <c r="AG8" s="57">
        <f>AH8+AI8+AJ8+AK8</f>
        <v>634460.87439999997</v>
      </c>
      <c r="AH8" s="84">
        <v>72145.606</v>
      </c>
      <c r="AI8" s="84">
        <v>76859.763399999996</v>
      </c>
      <c r="AJ8" s="84">
        <v>258712.296</v>
      </c>
      <c r="AK8" s="85">
        <v>226743.209</v>
      </c>
      <c r="AL8" s="57">
        <f>AM8+AN8+AO8+AP8</f>
        <v>641050.21900000004</v>
      </c>
      <c r="AM8" s="84">
        <v>85785.226999999999</v>
      </c>
      <c r="AN8" s="84">
        <v>72066.591</v>
      </c>
      <c r="AO8" s="84">
        <v>266678.48800000001</v>
      </c>
      <c r="AP8" s="84">
        <v>216519.913</v>
      </c>
    </row>
    <row r="9" spans="1:42" s="2" customFormat="1" ht="39.75" customHeight="1">
      <c r="A9" s="145" t="s">
        <v>53</v>
      </c>
      <c r="B9" s="165" t="s">
        <v>54</v>
      </c>
      <c r="C9" s="155"/>
      <c r="D9" s="156"/>
      <c r="E9" s="156"/>
      <c r="F9" s="156"/>
      <c r="G9" s="157"/>
      <c r="H9" s="15"/>
      <c r="I9" s="43"/>
      <c r="J9" s="43"/>
      <c r="K9" s="43"/>
      <c r="L9" s="44"/>
      <c r="M9" s="15"/>
      <c r="N9" s="43"/>
      <c r="O9" s="43"/>
      <c r="P9" s="43"/>
      <c r="Q9" s="44"/>
      <c r="R9" s="15"/>
      <c r="S9" s="52"/>
      <c r="T9" s="52"/>
      <c r="U9" s="52"/>
      <c r="V9" s="158"/>
      <c r="W9" s="15"/>
      <c r="X9" s="43"/>
      <c r="Y9" s="43"/>
      <c r="Z9" s="43"/>
      <c r="AA9" s="44"/>
      <c r="AB9" s="20"/>
      <c r="AC9" s="50"/>
      <c r="AD9" s="50"/>
      <c r="AE9" s="50"/>
      <c r="AF9" s="19"/>
      <c r="AG9" s="159">
        <f>SUM(AG10:AG12)</f>
        <v>21637.251247899985</v>
      </c>
      <c r="AH9" s="161">
        <f>SUM(AH10:AH12)</f>
        <v>0</v>
      </c>
      <c r="AI9" s="161">
        <f t="shared" ref="AI9" si="1">SUM(AI10:AI12)</f>
        <v>0</v>
      </c>
      <c r="AJ9" s="161">
        <f t="shared" ref="AJ9" si="2">SUM(AJ10:AJ12)</f>
        <v>4635.2588478999969</v>
      </c>
      <c r="AK9" s="161">
        <f t="shared" ref="AK9" si="3">SUM(AK10:AK12)</f>
        <v>17001.992399999988</v>
      </c>
      <c r="AL9" s="159">
        <f>SUM(AL10:AL12)</f>
        <v>54133.269</v>
      </c>
      <c r="AM9" s="161">
        <f>SUM(AM10:AM12)</f>
        <v>0</v>
      </c>
      <c r="AN9" s="161">
        <f>SUM(AN10:AN12)</f>
        <v>474.327</v>
      </c>
      <c r="AO9" s="161">
        <f t="shared" ref="AO9:AP9" si="4">SUM(AO10:AO12)</f>
        <v>17517.364000000001</v>
      </c>
      <c r="AP9" s="161">
        <f t="shared" si="4"/>
        <v>36141.578000000001</v>
      </c>
    </row>
    <row r="10" spans="1:42" s="2" customFormat="1" ht="19.5" customHeight="1">
      <c r="A10" s="145"/>
      <c r="B10" s="166" t="s">
        <v>9</v>
      </c>
      <c r="C10" s="155"/>
      <c r="D10" s="156"/>
      <c r="E10" s="156"/>
      <c r="F10" s="156"/>
      <c r="G10" s="157"/>
      <c r="H10" s="15"/>
      <c r="I10" s="43"/>
      <c r="J10" s="43"/>
      <c r="K10" s="43"/>
      <c r="L10" s="44"/>
      <c r="M10" s="15"/>
      <c r="N10" s="43"/>
      <c r="O10" s="43"/>
      <c r="P10" s="43"/>
      <c r="Q10" s="44"/>
      <c r="R10" s="15"/>
      <c r="S10" s="52"/>
      <c r="T10" s="52"/>
      <c r="U10" s="52"/>
      <c r="V10" s="158"/>
      <c r="W10" s="15"/>
      <c r="X10" s="43"/>
      <c r="Y10" s="43"/>
      <c r="Z10" s="43"/>
      <c r="AA10" s="44"/>
      <c r="AB10" s="20"/>
      <c r="AC10" s="50"/>
      <c r="AD10" s="50"/>
      <c r="AE10" s="50"/>
      <c r="AF10" s="19"/>
      <c r="AG10" s="168">
        <f>SUM(AH10:AK10)</f>
        <v>4635.2588478999969</v>
      </c>
      <c r="AH10" s="162"/>
      <c r="AI10" s="160">
        <f>AI7-AI8</f>
        <v>0</v>
      </c>
      <c r="AJ10" s="160">
        <f>AJ7-AJ8</f>
        <v>4635.2588478999969</v>
      </c>
      <c r="AK10" s="167"/>
      <c r="AL10" s="168">
        <f>SUM(AM10:AP10)</f>
        <v>17991.691000000003</v>
      </c>
      <c r="AM10" s="162"/>
      <c r="AN10" s="160">
        <v>474.327</v>
      </c>
      <c r="AO10" s="160">
        <v>17517.364000000001</v>
      </c>
      <c r="AP10" s="167"/>
    </row>
    <row r="11" spans="1:42" s="2" customFormat="1" ht="19.5" customHeight="1">
      <c r="A11" s="145"/>
      <c r="B11" s="166" t="s">
        <v>8</v>
      </c>
      <c r="C11" s="155"/>
      <c r="D11" s="156"/>
      <c r="E11" s="156"/>
      <c r="F11" s="156"/>
      <c r="G11" s="157"/>
      <c r="H11" s="15"/>
      <c r="I11" s="43"/>
      <c r="J11" s="43"/>
      <c r="K11" s="43"/>
      <c r="L11" s="44"/>
      <c r="M11" s="15"/>
      <c r="N11" s="43"/>
      <c r="O11" s="43"/>
      <c r="P11" s="43"/>
      <c r="Q11" s="44"/>
      <c r="R11" s="15"/>
      <c r="S11" s="52"/>
      <c r="T11" s="52"/>
      <c r="U11" s="52"/>
      <c r="V11" s="158"/>
      <c r="W11" s="15"/>
      <c r="X11" s="43"/>
      <c r="Y11" s="43"/>
      <c r="Z11" s="43"/>
      <c r="AA11" s="44"/>
      <c r="AB11" s="20"/>
      <c r="AC11" s="50"/>
      <c r="AD11" s="50"/>
      <c r="AE11" s="50"/>
      <c r="AF11" s="19"/>
      <c r="AG11" s="168">
        <f>SUM(AH11:AK11)</f>
        <v>0</v>
      </c>
      <c r="AH11" s="162"/>
      <c r="AI11" s="160"/>
      <c r="AJ11" s="160"/>
      <c r="AK11" s="167"/>
      <c r="AL11" s="168">
        <f>SUM(AM11:AP11)</f>
        <v>0</v>
      </c>
      <c r="AM11" s="162"/>
      <c r="AN11" s="160"/>
      <c r="AO11" s="160"/>
      <c r="AP11" s="167"/>
    </row>
    <row r="12" spans="1:42" s="2" customFormat="1" ht="19.5" customHeight="1">
      <c r="A12" s="145"/>
      <c r="B12" s="164" t="s">
        <v>7</v>
      </c>
      <c r="C12" s="155"/>
      <c r="D12" s="156"/>
      <c r="E12" s="156"/>
      <c r="F12" s="156"/>
      <c r="G12" s="157"/>
      <c r="H12" s="15"/>
      <c r="I12" s="43"/>
      <c r="J12" s="43"/>
      <c r="K12" s="43"/>
      <c r="L12" s="44"/>
      <c r="M12" s="15"/>
      <c r="N12" s="43"/>
      <c r="O12" s="43"/>
      <c r="P12" s="43"/>
      <c r="Q12" s="44"/>
      <c r="R12" s="15"/>
      <c r="S12" s="52"/>
      <c r="T12" s="52"/>
      <c r="U12" s="52"/>
      <c r="V12" s="158"/>
      <c r="W12" s="15"/>
      <c r="X12" s="43"/>
      <c r="Y12" s="43"/>
      <c r="Z12" s="43"/>
      <c r="AA12" s="44"/>
      <c r="AB12" s="20"/>
      <c r="AC12" s="50"/>
      <c r="AD12" s="50"/>
      <c r="AE12" s="50"/>
      <c r="AF12" s="19"/>
      <c r="AG12" s="168">
        <f>SUM(AH12:AK12)</f>
        <v>17001.992399999988</v>
      </c>
      <c r="AH12" s="163"/>
      <c r="AI12" s="160"/>
      <c r="AJ12" s="160"/>
      <c r="AK12" s="167">
        <f>AK7-AK8</f>
        <v>17001.992399999988</v>
      </c>
      <c r="AL12" s="168">
        <f>SUM(AM12:AP12)</f>
        <v>36141.578000000001</v>
      </c>
      <c r="AM12" s="163"/>
      <c r="AN12" s="160"/>
      <c r="AO12" s="160"/>
      <c r="AP12" s="167">
        <v>36141.578000000001</v>
      </c>
    </row>
    <row r="13" spans="1:42" s="2" customFormat="1" ht="36" customHeight="1">
      <c r="A13" s="145" t="s">
        <v>40</v>
      </c>
      <c r="B13" s="49" t="s">
        <v>36</v>
      </c>
      <c r="C13" s="53"/>
      <c r="D13" s="31"/>
      <c r="E13" s="31"/>
      <c r="F13" s="31"/>
      <c r="G13" s="30"/>
      <c r="H13" s="53"/>
      <c r="I13" s="31"/>
      <c r="J13" s="31"/>
      <c r="K13" s="31"/>
      <c r="L13" s="30"/>
      <c r="M13" s="53"/>
      <c r="N13" s="31"/>
      <c r="O13" s="31"/>
      <c r="P13" s="31"/>
      <c r="Q13" s="30"/>
      <c r="R13" s="53"/>
      <c r="S13" s="31"/>
      <c r="T13" s="31"/>
      <c r="U13" s="31"/>
      <c r="V13" s="30"/>
      <c r="W13" s="53"/>
      <c r="X13" s="31"/>
      <c r="Y13" s="31"/>
      <c r="Z13" s="31"/>
      <c r="AA13" s="30"/>
      <c r="AB13" s="53"/>
      <c r="AC13" s="31"/>
      <c r="AD13" s="31"/>
      <c r="AE13" s="31"/>
      <c r="AF13" s="30"/>
      <c r="AG13" s="99">
        <f t="shared" ref="AG13:AP13" si="5">AG14+AG15</f>
        <v>395507.554</v>
      </c>
      <c r="AH13" s="100">
        <f t="shared" si="5"/>
        <v>5369.4400000000005</v>
      </c>
      <c r="AI13" s="100">
        <f t="shared" si="5"/>
        <v>115.44200000000001</v>
      </c>
      <c r="AJ13" s="100">
        <f t="shared" si="5"/>
        <v>157577.98499999999</v>
      </c>
      <c r="AK13" s="101">
        <f t="shared" si="5"/>
        <v>232444.68699999998</v>
      </c>
      <c r="AL13" s="99">
        <f t="shared" si="5"/>
        <v>391807.51600000006</v>
      </c>
      <c r="AM13" s="100">
        <f t="shared" si="5"/>
        <v>4973.6220000000003</v>
      </c>
      <c r="AN13" s="100">
        <f t="shared" si="5"/>
        <v>292.416</v>
      </c>
      <c r="AO13" s="100">
        <f t="shared" si="5"/>
        <v>154436.02500000002</v>
      </c>
      <c r="AP13" s="101">
        <f t="shared" si="5"/>
        <v>232105.45300000001</v>
      </c>
    </row>
    <row r="14" spans="1:42" s="2" customFormat="1" ht="39">
      <c r="A14" s="145" t="s">
        <v>42</v>
      </c>
      <c r="B14" s="49" t="s">
        <v>20</v>
      </c>
      <c r="C14" s="15">
        <f>D14+E14+F14+G14</f>
        <v>272071.50299999997</v>
      </c>
      <c r="D14" s="22">
        <v>2994.7489999999998</v>
      </c>
      <c r="E14" s="22">
        <v>0</v>
      </c>
      <c r="F14" s="22">
        <v>89905.157999999996</v>
      </c>
      <c r="G14" s="21">
        <v>179171.59599999999</v>
      </c>
      <c r="H14" s="15">
        <f>L14+K14+J14+I14</f>
        <v>399541.54300000001</v>
      </c>
      <c r="I14" s="43">
        <v>3890.0230000000001</v>
      </c>
      <c r="J14" s="43">
        <v>0</v>
      </c>
      <c r="K14" s="43">
        <v>140735.81</v>
      </c>
      <c r="L14" s="44">
        <v>254915.71</v>
      </c>
      <c r="M14" s="15">
        <f>Q14+P14+O14+N14</f>
        <v>402044.2</v>
      </c>
      <c r="N14" s="43">
        <v>4543.8980000000001</v>
      </c>
      <c r="O14" s="43">
        <v>0</v>
      </c>
      <c r="P14" s="43">
        <v>128330.459</v>
      </c>
      <c r="Q14" s="44">
        <v>269169.84299999999</v>
      </c>
      <c r="R14" s="15">
        <f>V14+U14+T14+S14</f>
        <v>371325.17300000001</v>
      </c>
      <c r="S14" s="52">
        <v>2147.799</v>
      </c>
      <c r="T14" s="52">
        <v>0</v>
      </c>
      <c r="U14" s="52">
        <v>123205.88499999999</v>
      </c>
      <c r="V14" s="51">
        <v>245971.489</v>
      </c>
      <c r="W14" s="15">
        <f>AA14+Z14+Y14+X14</f>
        <v>402044.2</v>
      </c>
      <c r="X14" s="43">
        <v>4543.8980000000001</v>
      </c>
      <c r="Y14" s="43">
        <v>0</v>
      </c>
      <c r="Z14" s="43">
        <v>128330.459</v>
      </c>
      <c r="AA14" s="44">
        <v>269169.84299999999</v>
      </c>
      <c r="AB14" s="20">
        <f>AF14+AE14+AD14+AC14</f>
        <v>346311.32099999994</v>
      </c>
      <c r="AC14" s="50">
        <f>1143.86+0.876</f>
        <v>1144.7359999999999</v>
      </c>
      <c r="AD14" s="50">
        <v>63.453000000000003</v>
      </c>
      <c r="AE14" s="50">
        <f>65350.508+40373.378</f>
        <v>105723.886</v>
      </c>
      <c r="AF14" s="18">
        <f>29651.292+209727.954</f>
        <v>239379.24599999998</v>
      </c>
      <c r="AG14" s="15">
        <f>AK14+AJ14+AI14+AH14</f>
        <v>331540.125</v>
      </c>
      <c r="AH14" s="43">
        <v>1110.748</v>
      </c>
      <c r="AI14" s="43">
        <v>115.44200000000001</v>
      </c>
      <c r="AJ14" s="43">
        <v>98038.726999999999</v>
      </c>
      <c r="AK14" s="44">
        <v>232275.20799999998</v>
      </c>
      <c r="AL14" s="15">
        <f>AP14+AO14+AN14+AM14</f>
        <v>317683.42600000009</v>
      </c>
      <c r="AM14" s="43">
        <f>359.634+9.272</f>
        <v>368.90600000000001</v>
      </c>
      <c r="AN14" s="43">
        <f>292.416</f>
        <v>292.416</v>
      </c>
      <c r="AO14" s="43">
        <f>50047.557+35112.26</f>
        <v>85159.81700000001</v>
      </c>
      <c r="AP14" s="44">
        <f>31163.556+200698.731</f>
        <v>231862.28700000001</v>
      </c>
    </row>
    <row r="15" spans="1:42" s="2" customFormat="1" ht="39">
      <c r="A15" s="145" t="s">
        <v>43</v>
      </c>
      <c r="B15" s="49" t="s">
        <v>4</v>
      </c>
      <c r="C15" s="15">
        <f>D15+E15+F15+G15</f>
        <v>20900.309000000001</v>
      </c>
      <c r="D15" s="22">
        <v>3972.3</v>
      </c>
      <c r="E15" s="22">
        <v>0</v>
      </c>
      <c r="F15" s="22">
        <f>12142.602+2026.69</f>
        <v>14169.292000000001</v>
      </c>
      <c r="G15" s="21">
        <f>1067.327+1591.39+100</f>
        <v>2758.7170000000001</v>
      </c>
      <c r="H15" s="15">
        <f>L15+K15+J15+I15</f>
        <v>35068.063000000002</v>
      </c>
      <c r="I15" s="43">
        <v>4492.9409999999998</v>
      </c>
      <c r="J15" s="43">
        <v>113.63800000000001</v>
      </c>
      <c r="K15" s="43">
        <v>30257.464</v>
      </c>
      <c r="L15" s="44">
        <v>204.02</v>
      </c>
      <c r="M15" s="15">
        <f>Q15+P15+O15+N15</f>
        <v>51450.498</v>
      </c>
      <c r="N15" s="43">
        <v>6576.3850000000002</v>
      </c>
      <c r="O15" s="43">
        <v>0</v>
      </c>
      <c r="P15" s="43">
        <v>43780.292999999998</v>
      </c>
      <c r="Q15" s="44">
        <v>1093.82</v>
      </c>
      <c r="R15" s="15">
        <f>V15+U15+T15+S15</f>
        <v>56419.896500000003</v>
      </c>
      <c r="S15" s="48">
        <v>2950.248</v>
      </c>
      <c r="T15" s="48">
        <v>89.474000000000004</v>
      </c>
      <c r="U15" s="48">
        <v>53171.458500000001</v>
      </c>
      <c r="V15" s="47">
        <v>208.71600000000001</v>
      </c>
      <c r="W15" s="15">
        <f>AA15+Z15+Y15+X15</f>
        <v>50704.266000000003</v>
      </c>
      <c r="X15" s="43">
        <v>6478.36</v>
      </c>
      <c r="Y15" s="43">
        <v>0</v>
      </c>
      <c r="Z15" s="43">
        <v>41522.603999999999</v>
      </c>
      <c r="AA15" s="44">
        <v>2703.3020000000001</v>
      </c>
      <c r="AB15" s="15">
        <f>AF15+AE15+AD15+AC15</f>
        <v>61264.221000000005</v>
      </c>
      <c r="AC15" s="46">
        <v>3344.5439999999999</v>
      </c>
      <c r="AD15" s="46">
        <v>0</v>
      </c>
      <c r="AE15" s="46">
        <v>57681.489000000001</v>
      </c>
      <c r="AF15" s="45">
        <v>238.18799999999999</v>
      </c>
      <c r="AG15" s="15">
        <f>AK15+AJ15+AI15+AH15</f>
        <v>63967.428999999996</v>
      </c>
      <c r="AH15" s="43">
        <v>4258.692</v>
      </c>
      <c r="AI15" s="43">
        <v>0</v>
      </c>
      <c r="AJ15" s="43">
        <v>59539.257999999994</v>
      </c>
      <c r="AK15" s="44">
        <v>169.47899999999998</v>
      </c>
      <c r="AL15" s="15">
        <f>AP15+AO15+AN15+AM15</f>
        <v>74124.09</v>
      </c>
      <c r="AM15" s="43">
        <v>4604.7160000000003</v>
      </c>
      <c r="AN15" s="43">
        <v>0</v>
      </c>
      <c r="AO15" s="43">
        <v>69276.207999999999</v>
      </c>
      <c r="AP15" s="44">
        <v>243.166</v>
      </c>
    </row>
    <row r="16" spans="1:42" s="2" customFormat="1" ht="19.5">
      <c r="A16" s="146" t="s">
        <v>58</v>
      </c>
      <c r="B16" s="36" t="s">
        <v>3</v>
      </c>
      <c r="C16" s="41">
        <f>D16+E16+F16+G16</f>
        <v>257327.22699999998</v>
      </c>
      <c r="D16" s="35">
        <v>74333.922000000006</v>
      </c>
      <c r="E16" s="35">
        <v>80645.073000000004</v>
      </c>
      <c r="F16" s="35">
        <v>96540.909</v>
      </c>
      <c r="G16" s="34">
        <v>5807.3230000000003</v>
      </c>
      <c r="H16" s="41">
        <f>J16+K16+L16+I16</f>
        <v>238288.12500000003</v>
      </c>
      <c r="I16" s="40">
        <v>66520.587</v>
      </c>
      <c r="J16" s="40">
        <v>78104.865000000005</v>
      </c>
      <c r="K16" s="40">
        <v>88286.274000000005</v>
      </c>
      <c r="L16" s="39">
        <v>5376.3990000000003</v>
      </c>
      <c r="M16" s="41">
        <f>O16+P16+Q16+N16</f>
        <v>246574.55600000001</v>
      </c>
      <c r="N16" s="40">
        <v>72219.600000000006</v>
      </c>
      <c r="O16" s="40">
        <v>77400.995999999999</v>
      </c>
      <c r="P16" s="40">
        <v>91689.620999999999</v>
      </c>
      <c r="Q16" s="39">
        <v>5264.3389999999999</v>
      </c>
      <c r="R16" s="41">
        <f>T16+U16+V16+S16</f>
        <v>238208.56899999996</v>
      </c>
      <c r="S16" s="42">
        <v>68367.398000000001</v>
      </c>
      <c r="T16" s="42">
        <v>77003.798999999999</v>
      </c>
      <c r="U16" s="42">
        <v>87899.044999999998</v>
      </c>
      <c r="V16" s="42">
        <v>4938.3270000000002</v>
      </c>
      <c r="W16" s="41">
        <f>Y16+Z16+AA16+X16</f>
        <v>244434.89600000001</v>
      </c>
      <c r="X16" s="40">
        <v>67751.64</v>
      </c>
      <c r="Y16" s="40">
        <v>80453.646999999997</v>
      </c>
      <c r="Z16" s="40">
        <v>90739.835999999996</v>
      </c>
      <c r="AA16" s="39">
        <v>5489.7730000000001</v>
      </c>
      <c r="AB16" s="37">
        <f>AD16+AE16+AF16+AC16</f>
        <v>223696.70500000002</v>
      </c>
      <c r="AC16" s="38">
        <v>62720.36</v>
      </c>
      <c r="AD16" s="38">
        <v>75064.296000000002</v>
      </c>
      <c r="AE16" s="38">
        <v>81438.154999999999</v>
      </c>
      <c r="AF16" s="38">
        <v>4473.8940000000002</v>
      </c>
      <c r="AG16" s="107">
        <f>AI16+AJ16+AK16+AH16</f>
        <v>223849.80200000003</v>
      </c>
      <c r="AH16" s="108">
        <v>64011.978999999999</v>
      </c>
      <c r="AI16" s="108">
        <v>74383.615000000005</v>
      </c>
      <c r="AJ16" s="108">
        <v>81105.807000000001</v>
      </c>
      <c r="AK16" s="109">
        <v>4348.4009999999998</v>
      </c>
      <c r="AL16" s="107">
        <f>AN16+AO16+AP16+AM16</f>
        <v>213216.478</v>
      </c>
      <c r="AM16" s="108">
        <v>58982.862000000001</v>
      </c>
      <c r="AN16" s="108">
        <v>71438.858999999997</v>
      </c>
      <c r="AO16" s="108">
        <v>79184.472999999998</v>
      </c>
      <c r="AP16" s="109">
        <v>3610.2840000000001</v>
      </c>
    </row>
    <row r="17" spans="1:42" s="2" customFormat="1" ht="96" customHeight="1">
      <c r="A17" s="149">
        <v>2</v>
      </c>
      <c r="B17" s="118" t="s">
        <v>30</v>
      </c>
      <c r="C17" s="29"/>
      <c r="D17" s="31"/>
      <c r="E17" s="31"/>
      <c r="F17" s="31"/>
      <c r="G17" s="30"/>
      <c r="H17" s="29"/>
      <c r="I17" s="31"/>
      <c r="J17" s="31"/>
      <c r="K17" s="31"/>
      <c r="L17" s="30"/>
      <c r="M17" s="29"/>
      <c r="N17" s="31"/>
      <c r="O17" s="31"/>
      <c r="P17" s="31"/>
      <c r="Q17" s="30"/>
      <c r="R17" s="29"/>
      <c r="S17" s="31"/>
      <c r="T17" s="31"/>
      <c r="U17" s="31"/>
      <c r="V17" s="30"/>
      <c r="W17" s="29"/>
      <c r="X17" s="31"/>
      <c r="Y17" s="31"/>
      <c r="Z17" s="31"/>
      <c r="AA17" s="30"/>
      <c r="AB17" s="29"/>
      <c r="AC17" s="31"/>
      <c r="AD17" s="31"/>
      <c r="AE17" s="31"/>
      <c r="AF17" s="30"/>
      <c r="AG17" s="131">
        <f t="shared" ref="AG17:AP17" si="6">SUM(AG18:AG23)</f>
        <v>8979.634</v>
      </c>
      <c r="AH17" s="132">
        <f t="shared" si="6"/>
        <v>0</v>
      </c>
      <c r="AI17" s="132">
        <f t="shared" si="6"/>
        <v>0</v>
      </c>
      <c r="AJ17" s="132">
        <f t="shared" si="6"/>
        <v>8738.2390000000014</v>
      </c>
      <c r="AK17" s="141">
        <f t="shared" si="6"/>
        <v>241.39499999999998</v>
      </c>
      <c r="AL17" s="131">
        <f t="shared" si="6"/>
        <v>5220.7489999999998</v>
      </c>
      <c r="AM17" s="132">
        <f t="shared" si="6"/>
        <v>0</v>
      </c>
      <c r="AN17" s="132">
        <f t="shared" si="6"/>
        <v>0</v>
      </c>
      <c r="AO17" s="132">
        <f t="shared" si="6"/>
        <v>4998.6280000000006</v>
      </c>
      <c r="AP17" s="141">
        <f t="shared" si="6"/>
        <v>222.12099999999998</v>
      </c>
    </row>
    <row r="18" spans="1:42" s="2" customFormat="1" ht="27" customHeight="1">
      <c r="A18" s="147"/>
      <c r="B18" s="125" t="s">
        <v>31</v>
      </c>
      <c r="C18" s="120"/>
      <c r="D18" s="22"/>
      <c r="E18" s="22"/>
      <c r="F18" s="22"/>
      <c r="G18" s="21"/>
      <c r="H18" s="120"/>
      <c r="I18" s="22"/>
      <c r="J18" s="22"/>
      <c r="K18" s="22"/>
      <c r="L18" s="21"/>
      <c r="M18" s="120"/>
      <c r="N18" s="22"/>
      <c r="O18" s="22"/>
      <c r="P18" s="22"/>
      <c r="Q18" s="21"/>
      <c r="R18" s="120"/>
      <c r="S18" s="22"/>
      <c r="T18" s="22"/>
      <c r="U18" s="22"/>
      <c r="V18" s="21"/>
      <c r="W18" s="120"/>
      <c r="X18" s="22"/>
      <c r="Y18" s="22"/>
      <c r="Z18" s="22"/>
      <c r="AA18" s="21"/>
      <c r="AB18" s="120"/>
      <c r="AC18" s="22"/>
      <c r="AD18" s="22"/>
      <c r="AE18" s="22"/>
      <c r="AF18" s="21"/>
      <c r="AG18" s="126">
        <f t="shared" ref="AG18:AG23" si="7">SUM(AH18:AK18)</f>
        <v>150.39499999999998</v>
      </c>
      <c r="AH18" s="127" t="s">
        <v>33</v>
      </c>
      <c r="AI18" s="128" t="s">
        <v>33</v>
      </c>
      <c r="AJ18" s="127" t="s">
        <v>33</v>
      </c>
      <c r="AK18" s="129">
        <f>49.042+101.353</f>
        <v>150.39499999999998</v>
      </c>
      <c r="AL18" s="126">
        <f t="shared" ref="AL18:AL23" si="8">SUM(AM18:AP18)</f>
        <v>101.797</v>
      </c>
      <c r="AM18" s="127" t="s">
        <v>33</v>
      </c>
      <c r="AN18" s="128" t="s">
        <v>33</v>
      </c>
      <c r="AO18" s="127" t="s">
        <v>33</v>
      </c>
      <c r="AP18" s="129">
        <v>101.797</v>
      </c>
    </row>
    <row r="19" spans="1:42" s="2" customFormat="1" ht="27" customHeight="1">
      <c r="A19" s="147"/>
      <c r="B19" s="125" t="s">
        <v>52</v>
      </c>
      <c r="C19" s="120"/>
      <c r="D19" s="22"/>
      <c r="E19" s="22"/>
      <c r="F19" s="22"/>
      <c r="G19" s="21"/>
      <c r="H19" s="120"/>
      <c r="I19" s="22"/>
      <c r="J19" s="22"/>
      <c r="K19" s="22"/>
      <c r="L19" s="21"/>
      <c r="M19" s="120"/>
      <c r="N19" s="22"/>
      <c r="O19" s="22"/>
      <c r="P19" s="22"/>
      <c r="Q19" s="21"/>
      <c r="R19" s="120"/>
      <c r="S19" s="22"/>
      <c r="T19" s="22"/>
      <c r="U19" s="22"/>
      <c r="V19" s="21"/>
      <c r="W19" s="120"/>
      <c r="X19" s="22"/>
      <c r="Y19" s="22"/>
      <c r="Z19" s="22"/>
      <c r="AA19" s="21"/>
      <c r="AB19" s="120"/>
      <c r="AC19" s="22"/>
      <c r="AD19" s="22"/>
      <c r="AE19" s="22"/>
      <c r="AF19" s="21"/>
      <c r="AG19" s="126">
        <f t="shared" si="7"/>
        <v>91</v>
      </c>
      <c r="AH19" s="127" t="s">
        <v>33</v>
      </c>
      <c r="AI19" s="128" t="s">
        <v>33</v>
      </c>
      <c r="AJ19" s="127" t="s">
        <v>33</v>
      </c>
      <c r="AK19" s="129">
        <f>31+60</f>
        <v>91</v>
      </c>
      <c r="AL19" s="126">
        <f t="shared" si="8"/>
        <v>49.097999999999999</v>
      </c>
      <c r="AM19" s="127" t="s">
        <v>33</v>
      </c>
      <c r="AN19" s="128" t="s">
        <v>33</v>
      </c>
      <c r="AO19" s="127" t="s">
        <v>33</v>
      </c>
      <c r="AP19" s="129">
        <v>49.097999999999999</v>
      </c>
    </row>
    <row r="20" spans="1:42" s="2" customFormat="1" ht="27" customHeight="1">
      <c r="A20" s="147"/>
      <c r="B20" s="125" t="s">
        <v>32</v>
      </c>
      <c r="C20" s="120"/>
      <c r="D20" s="22"/>
      <c r="E20" s="22"/>
      <c r="F20" s="22"/>
      <c r="G20" s="21"/>
      <c r="H20" s="120"/>
      <c r="I20" s="22"/>
      <c r="J20" s="22"/>
      <c r="K20" s="22"/>
      <c r="L20" s="21"/>
      <c r="M20" s="120"/>
      <c r="N20" s="22"/>
      <c r="O20" s="22"/>
      <c r="P20" s="22"/>
      <c r="Q20" s="21"/>
      <c r="R20" s="120"/>
      <c r="S20" s="22"/>
      <c r="T20" s="22"/>
      <c r="U20" s="22"/>
      <c r="V20" s="21"/>
      <c r="W20" s="120"/>
      <c r="X20" s="22"/>
      <c r="Y20" s="22"/>
      <c r="Z20" s="22"/>
      <c r="AA20" s="21"/>
      <c r="AB20" s="120"/>
      <c r="AC20" s="22"/>
      <c r="AD20" s="22"/>
      <c r="AE20" s="22"/>
      <c r="AF20" s="21"/>
      <c r="AG20" s="126">
        <f t="shared" si="7"/>
        <v>1481.277</v>
      </c>
      <c r="AH20" s="127" t="s">
        <v>33</v>
      </c>
      <c r="AI20" s="128" t="s">
        <v>33</v>
      </c>
      <c r="AJ20" s="127">
        <f>476.903+1004.374</f>
        <v>1481.277</v>
      </c>
      <c r="AK20" s="129" t="s">
        <v>33</v>
      </c>
      <c r="AL20" s="126">
        <f t="shared" si="8"/>
        <v>0</v>
      </c>
      <c r="AM20" s="127" t="s">
        <v>33</v>
      </c>
      <c r="AN20" s="128" t="s">
        <v>33</v>
      </c>
      <c r="AO20" s="127">
        <v>0</v>
      </c>
      <c r="AP20" s="129" t="s">
        <v>33</v>
      </c>
    </row>
    <row r="21" spans="1:42" s="2" customFormat="1" ht="27" customHeight="1">
      <c r="A21" s="147"/>
      <c r="B21" s="125" t="s">
        <v>49</v>
      </c>
      <c r="C21" s="120"/>
      <c r="D21" s="22"/>
      <c r="E21" s="22"/>
      <c r="F21" s="22"/>
      <c r="G21" s="21"/>
      <c r="H21" s="120"/>
      <c r="I21" s="22"/>
      <c r="J21" s="22"/>
      <c r="K21" s="22"/>
      <c r="L21" s="21"/>
      <c r="M21" s="120"/>
      <c r="N21" s="22"/>
      <c r="O21" s="22"/>
      <c r="P21" s="22"/>
      <c r="Q21" s="21"/>
      <c r="R21" s="120"/>
      <c r="S21" s="22"/>
      <c r="T21" s="22"/>
      <c r="U21" s="22"/>
      <c r="V21" s="21"/>
      <c r="W21" s="120"/>
      <c r="X21" s="22"/>
      <c r="Y21" s="22"/>
      <c r="Z21" s="22"/>
      <c r="AA21" s="21"/>
      <c r="AB21" s="120"/>
      <c r="AC21" s="22"/>
      <c r="AD21" s="22"/>
      <c r="AE21" s="22"/>
      <c r="AF21" s="21"/>
      <c r="AG21" s="126">
        <f t="shared" si="7"/>
        <v>0</v>
      </c>
      <c r="AH21" s="127" t="s">
        <v>33</v>
      </c>
      <c r="AI21" s="128" t="s">
        <v>33</v>
      </c>
      <c r="AJ21" s="127" t="s">
        <v>33</v>
      </c>
      <c r="AK21" s="129" t="s">
        <v>33</v>
      </c>
      <c r="AL21" s="126">
        <f t="shared" si="8"/>
        <v>3.6030000000000002</v>
      </c>
      <c r="AM21" s="127" t="s">
        <v>33</v>
      </c>
      <c r="AN21" s="128" t="s">
        <v>33</v>
      </c>
      <c r="AO21" s="127">
        <v>3.6030000000000002</v>
      </c>
      <c r="AP21" s="129" t="s">
        <v>33</v>
      </c>
    </row>
    <row r="22" spans="1:42" s="2" customFormat="1" ht="27" customHeight="1">
      <c r="A22" s="147"/>
      <c r="B22" s="125" t="s">
        <v>50</v>
      </c>
      <c r="C22" s="120"/>
      <c r="D22" s="22"/>
      <c r="E22" s="22"/>
      <c r="F22" s="22"/>
      <c r="G22" s="21"/>
      <c r="H22" s="120"/>
      <c r="I22" s="22"/>
      <c r="J22" s="22"/>
      <c r="K22" s="22"/>
      <c r="L22" s="21"/>
      <c r="M22" s="120"/>
      <c r="N22" s="22"/>
      <c r="O22" s="22"/>
      <c r="P22" s="22"/>
      <c r="Q22" s="21"/>
      <c r="R22" s="120"/>
      <c r="S22" s="22"/>
      <c r="T22" s="22"/>
      <c r="U22" s="22"/>
      <c r="V22" s="21"/>
      <c r="W22" s="120"/>
      <c r="X22" s="22"/>
      <c r="Y22" s="22"/>
      <c r="Z22" s="22"/>
      <c r="AA22" s="21"/>
      <c r="AB22" s="120"/>
      <c r="AC22" s="22"/>
      <c r="AD22" s="22"/>
      <c r="AE22" s="22"/>
      <c r="AF22" s="21"/>
      <c r="AG22" s="126">
        <f t="shared" si="7"/>
        <v>0</v>
      </c>
      <c r="AH22" s="127" t="s">
        <v>33</v>
      </c>
      <c r="AI22" s="128" t="s">
        <v>33</v>
      </c>
      <c r="AJ22" s="127" t="s">
        <v>33</v>
      </c>
      <c r="AK22" s="129" t="s">
        <v>33</v>
      </c>
      <c r="AL22" s="126">
        <f t="shared" si="8"/>
        <v>87.643000000000001</v>
      </c>
      <c r="AM22" s="127" t="s">
        <v>33</v>
      </c>
      <c r="AN22" s="128" t="s">
        <v>33</v>
      </c>
      <c r="AO22" s="127">
        <v>16.417000000000002</v>
      </c>
      <c r="AP22" s="129">
        <v>71.225999999999999</v>
      </c>
    </row>
    <row r="23" spans="1:42" s="2" customFormat="1" ht="27" customHeight="1">
      <c r="A23" s="147"/>
      <c r="B23" s="125" t="s">
        <v>29</v>
      </c>
      <c r="C23" s="120"/>
      <c r="D23" s="22"/>
      <c r="E23" s="22"/>
      <c r="F23" s="22"/>
      <c r="G23" s="21"/>
      <c r="H23" s="120"/>
      <c r="I23" s="22"/>
      <c r="J23" s="22"/>
      <c r="K23" s="22"/>
      <c r="L23" s="21"/>
      <c r="M23" s="120"/>
      <c r="N23" s="22"/>
      <c r="O23" s="22"/>
      <c r="P23" s="22"/>
      <c r="Q23" s="21"/>
      <c r="R23" s="120"/>
      <c r="S23" s="22"/>
      <c r="T23" s="22"/>
      <c r="U23" s="22"/>
      <c r="V23" s="21"/>
      <c r="W23" s="120"/>
      <c r="X23" s="22"/>
      <c r="Y23" s="22"/>
      <c r="Z23" s="22"/>
      <c r="AA23" s="21"/>
      <c r="AB23" s="120"/>
      <c r="AC23" s="22"/>
      <c r="AD23" s="22"/>
      <c r="AE23" s="22"/>
      <c r="AF23" s="21"/>
      <c r="AG23" s="126">
        <f t="shared" si="7"/>
        <v>7256.9620000000004</v>
      </c>
      <c r="AH23" s="130" t="s">
        <v>33</v>
      </c>
      <c r="AI23" s="128" t="s">
        <v>33</v>
      </c>
      <c r="AJ23" s="130">
        <f>2429.407+4827.555</f>
        <v>7256.9620000000004</v>
      </c>
      <c r="AK23" s="129" t="s">
        <v>33</v>
      </c>
      <c r="AL23" s="126">
        <f t="shared" si="8"/>
        <v>4978.6080000000002</v>
      </c>
      <c r="AM23" s="130" t="s">
        <v>33</v>
      </c>
      <c r="AN23" s="128" t="s">
        <v>33</v>
      </c>
      <c r="AO23" s="130">
        <v>4978.6080000000002</v>
      </c>
      <c r="AP23" s="129" t="s">
        <v>33</v>
      </c>
    </row>
    <row r="24" spans="1:42" s="2" customFormat="1" ht="78">
      <c r="A24" s="149">
        <v>3</v>
      </c>
      <c r="B24" s="32" t="s">
        <v>2</v>
      </c>
      <c r="C24" s="29"/>
      <c r="D24" s="31"/>
      <c r="E24" s="31"/>
      <c r="F24" s="31"/>
      <c r="G24" s="30"/>
      <c r="H24" s="29"/>
      <c r="I24" s="31"/>
      <c r="J24" s="31"/>
      <c r="K24" s="31"/>
      <c r="L24" s="30"/>
      <c r="M24" s="29"/>
      <c r="N24" s="31"/>
      <c r="O24" s="31"/>
      <c r="P24" s="31"/>
      <c r="Q24" s="30"/>
      <c r="R24" s="29"/>
      <c r="S24" s="31"/>
      <c r="T24" s="31"/>
      <c r="U24" s="31"/>
      <c r="V24" s="30"/>
      <c r="W24" s="29"/>
      <c r="X24" s="31"/>
      <c r="Y24" s="31"/>
      <c r="Z24" s="31"/>
      <c r="AA24" s="30"/>
      <c r="AB24" s="29"/>
      <c r="AC24" s="31"/>
      <c r="AD24" s="31"/>
      <c r="AE24" s="31"/>
      <c r="AF24" s="30"/>
      <c r="AG24" s="29"/>
      <c r="AH24" s="31"/>
      <c r="AI24" s="31"/>
      <c r="AJ24" s="31"/>
      <c r="AK24" s="30"/>
      <c r="AL24" s="29">
        <f>AL25+AL26</f>
        <v>36026.225000000006</v>
      </c>
      <c r="AM24" s="31">
        <f>AM25+AM26</f>
        <v>3837.0519999999997</v>
      </c>
      <c r="AN24" s="31">
        <f>AN25+AN26</f>
        <v>809.64300000000003</v>
      </c>
      <c r="AO24" s="31">
        <f>AO25+AO26</f>
        <v>14433.776</v>
      </c>
      <c r="AP24" s="30">
        <f>AP25+AP26</f>
        <v>16945.754000000001</v>
      </c>
    </row>
    <row r="25" spans="1:42" s="2" customFormat="1" ht="58.5">
      <c r="A25" s="145" t="s">
        <v>41</v>
      </c>
      <c r="B25" s="26" t="s">
        <v>55</v>
      </c>
      <c r="C25" s="17">
        <f>C8-C14-C15-C16</f>
        <v>17229.160999999993</v>
      </c>
      <c r="D25" s="22">
        <v>4387.8900000000003</v>
      </c>
      <c r="E25" s="25">
        <v>0</v>
      </c>
      <c r="F25" s="22">
        <v>6830.799</v>
      </c>
      <c r="G25" s="21">
        <v>6010.4960000000001</v>
      </c>
      <c r="H25" s="17">
        <f>H8-H14-H15-H16</f>
        <v>22058.714000000036</v>
      </c>
      <c r="I25" s="22">
        <v>2527.2170000000001</v>
      </c>
      <c r="J25" s="22">
        <v>3299.098</v>
      </c>
      <c r="K25" s="22">
        <v>8751.4110000000001</v>
      </c>
      <c r="L25" s="21">
        <v>7480.9880000000003</v>
      </c>
      <c r="M25" s="17">
        <f>M8-M14-M15-M16</f>
        <v>26667.33699999997</v>
      </c>
      <c r="N25" s="22">
        <v>5737.6019999999999</v>
      </c>
      <c r="O25" s="22">
        <v>0</v>
      </c>
      <c r="P25" s="22">
        <v>14125.796</v>
      </c>
      <c r="Q25" s="21">
        <v>6803.94</v>
      </c>
      <c r="R25" s="17">
        <f>R8-R14-R15-R16</f>
        <v>20463.554999999964</v>
      </c>
      <c r="S25" s="24">
        <v>2500.0495999999998</v>
      </c>
      <c r="T25" s="24">
        <v>3349.6206999999999</v>
      </c>
      <c r="U25" s="24">
        <v>7661.7703000000001</v>
      </c>
      <c r="V25" s="23">
        <v>6952.1134000000002</v>
      </c>
      <c r="W25" s="17">
        <f>W8-W14-W15-W16</f>
        <v>16981.399999999965</v>
      </c>
      <c r="X25" s="22">
        <v>564.71</v>
      </c>
      <c r="Y25" s="22">
        <v>0</v>
      </c>
      <c r="Z25" s="22">
        <f>8751.41+184.29</f>
        <v>8935.7000000000007</v>
      </c>
      <c r="AA25" s="21">
        <v>7480.99</v>
      </c>
      <c r="AB25" s="15">
        <f>AB8-AB14-AB15-AB16</f>
        <v>20943.373000000021</v>
      </c>
      <c r="AC25" s="19">
        <v>504.80599999999998</v>
      </c>
      <c r="AD25" s="19">
        <v>0</v>
      </c>
      <c r="AE25" s="19">
        <f>7412.6874+332.772</f>
        <v>7745.4593999999997</v>
      </c>
      <c r="AF25" s="18">
        <v>12693.108</v>
      </c>
      <c r="AG25" s="17">
        <f>AG8-AG14-AG15-AG16</f>
        <v>15103.518399999943</v>
      </c>
      <c r="AH25" s="171">
        <f>'[3]1.4 2016 г'!$F$22*1000</f>
        <v>303.92388</v>
      </c>
      <c r="AI25" s="171">
        <f>'[3]1.4 2016 г'!$I$22*1000</f>
        <v>185.71113</v>
      </c>
      <c r="AJ25" s="171">
        <f>'[3]1.4 2016 г'!$L$22*1000</f>
        <v>7661.7703000000001</v>
      </c>
      <c r="AK25" s="172">
        <f>'[3]1.4 2016 г'!$O$22*1000</f>
        <v>6952.1134000000002</v>
      </c>
      <c r="AL25" s="17">
        <f>AN25+AO25+AP25+AM25</f>
        <v>15103.5</v>
      </c>
      <c r="AM25" s="171">
        <v>1637.356</v>
      </c>
      <c r="AN25" s="171">
        <v>416.91899999999998</v>
      </c>
      <c r="AO25" s="171">
        <v>6055.3410000000003</v>
      </c>
      <c r="AP25" s="172">
        <v>6993.884</v>
      </c>
    </row>
    <row r="26" spans="1:42" s="2" customFormat="1" ht="39.75" customHeight="1">
      <c r="A26" s="145" t="s">
        <v>44</v>
      </c>
      <c r="B26" s="26" t="s">
        <v>56</v>
      </c>
      <c r="C26" s="17"/>
      <c r="D26" s="22"/>
      <c r="E26" s="25"/>
      <c r="F26" s="22"/>
      <c r="G26" s="21"/>
      <c r="H26" s="17"/>
      <c r="I26" s="22"/>
      <c r="J26" s="22"/>
      <c r="K26" s="22"/>
      <c r="L26" s="21"/>
      <c r="M26" s="17"/>
      <c r="N26" s="22"/>
      <c r="O26" s="22"/>
      <c r="P26" s="22"/>
      <c r="Q26" s="21"/>
      <c r="R26" s="17"/>
      <c r="S26" s="24"/>
      <c r="T26" s="24"/>
      <c r="U26" s="24"/>
      <c r="V26" s="23"/>
      <c r="W26" s="17"/>
      <c r="X26" s="22"/>
      <c r="Y26" s="22"/>
      <c r="Z26" s="22"/>
      <c r="AA26" s="21"/>
      <c r="AB26" s="15"/>
      <c r="AC26" s="19"/>
      <c r="AD26" s="19"/>
      <c r="AE26" s="19"/>
      <c r="AF26" s="18"/>
      <c r="AG26" s="17"/>
      <c r="AH26" s="14"/>
      <c r="AI26" s="14"/>
      <c r="AJ26" s="14"/>
      <c r="AK26" s="16"/>
      <c r="AL26" s="17">
        <f>AN26+AO26+AP26+AM26</f>
        <v>20922.725000000002</v>
      </c>
      <c r="AM26" s="171">
        <v>2199.6959999999999</v>
      </c>
      <c r="AN26" s="171">
        <v>392.72399999999999</v>
      </c>
      <c r="AO26" s="171">
        <v>8378.4349999999995</v>
      </c>
      <c r="AP26" s="172">
        <v>9951.8700000000008</v>
      </c>
    </row>
    <row r="27" spans="1:42" s="2" customFormat="1" ht="39.75" thickBot="1">
      <c r="A27" s="150" t="s">
        <v>57</v>
      </c>
      <c r="B27" s="13" t="s">
        <v>0</v>
      </c>
      <c r="C27" s="10">
        <f t="shared" ref="C27:H27" si="9">C25/(C8-C16)</f>
        <v>5.5541930875890558E-2</v>
      </c>
      <c r="D27" s="9">
        <f t="shared" si="9"/>
        <v>8.1168721259808618E-2</v>
      </c>
      <c r="E27" s="9">
        <f t="shared" si="9"/>
        <v>0</v>
      </c>
      <c r="F27" s="9">
        <f t="shared" si="9"/>
        <v>2.483363492612118E-2</v>
      </c>
      <c r="G27" s="8">
        <f t="shared" si="9"/>
        <v>3.1980791059347154E-2</v>
      </c>
      <c r="H27" s="10">
        <f t="shared" si="9"/>
        <v>4.8303578404562932E-2</v>
      </c>
      <c r="I27" s="9"/>
      <c r="J27" s="9"/>
      <c r="K27" s="9"/>
      <c r="L27" s="8"/>
      <c r="M27" s="10">
        <f>M25/(M8-M16)</f>
        <v>5.5538203889859743E-2</v>
      </c>
      <c r="N27" s="9">
        <f>N25/(N8-N16)</f>
        <v>8.302799426395889E-2</v>
      </c>
      <c r="O27" s="9">
        <v>0</v>
      </c>
      <c r="P27" s="9">
        <f>P25/(P8-P16)</f>
        <v>3.118723728992992E-2</v>
      </c>
      <c r="Q27" s="8">
        <f>Q25/(Q8-Q16)</f>
        <v>2.4556967147678275E-2</v>
      </c>
      <c r="R27" s="10">
        <f>R25/(R8-R16)</f>
        <v>4.5656316905610915E-2</v>
      </c>
      <c r="S27" s="12">
        <f>S25/(S8-S16)</f>
        <v>0.29376809208342436</v>
      </c>
      <c r="T27" s="12">
        <v>0</v>
      </c>
      <c r="U27" s="12">
        <f>U25/(U8-U16)</f>
        <v>3.7014943530940689E-2</v>
      </c>
      <c r="V27" s="11">
        <f>V25/(V8-V16)</f>
        <v>2.9890771220998567E-2</v>
      </c>
      <c r="W27" s="10">
        <f>W25/(W8-W16)</f>
        <v>3.6151416439847935E-2</v>
      </c>
      <c r="X27" s="9">
        <f>X25/(X8-X16)</f>
        <v>4.873664965675234E-2</v>
      </c>
      <c r="Y27" s="9">
        <v>0</v>
      </c>
      <c r="Z27" s="9">
        <f t="shared" ref="Z27:AG27" si="10">Z25/(Z8-Z16)</f>
        <v>4.3556259259945843E-2</v>
      </c>
      <c r="AA27" s="8">
        <f t="shared" si="10"/>
        <v>2.9570318507065707E-2</v>
      </c>
      <c r="AB27" s="10">
        <f t="shared" si="10"/>
        <v>4.8873858928724354E-2</v>
      </c>
      <c r="AC27" s="12">
        <f t="shared" si="10"/>
        <v>4.456017476419933E-2</v>
      </c>
      <c r="AD27" s="12">
        <f t="shared" si="10"/>
        <v>0</v>
      </c>
      <c r="AE27" s="12">
        <f t="shared" si="10"/>
        <v>3.9795964294537647E-2</v>
      </c>
      <c r="AF27" s="11">
        <f t="shared" si="10"/>
        <v>5.704803946078147E-2</v>
      </c>
      <c r="AG27" s="10">
        <f t="shared" si="10"/>
        <v>3.67830275781914E-2</v>
      </c>
      <c r="AH27" s="9">
        <f>AH25/(AH7-AH16)</f>
        <v>3.7366338807473719E-2</v>
      </c>
      <c r="AI27" s="9">
        <f>AI25/(AI7-AI16)</f>
        <v>7.5000000000000275E-2</v>
      </c>
      <c r="AJ27" s="9">
        <f>AJ25/(AJ7-AJ16)</f>
        <v>4.2041795529718894E-2</v>
      </c>
      <c r="AK27" s="8">
        <f>AK25/(AK7-AK16)</f>
        <v>2.9040126636546312E-2</v>
      </c>
      <c r="AL27" s="10">
        <f>AL24/(AL8-AL16)</f>
        <v>8.4206133241837983E-2</v>
      </c>
      <c r="AM27" s="9">
        <f>AM24/(AM7-AM16)</f>
        <v>0.14316094867001475</v>
      </c>
      <c r="AN27" s="9">
        <f t="shared" ref="AN27:AP27" si="11">AN24/(AN7-AN16)</f>
        <v>0.73466393360064564</v>
      </c>
      <c r="AO27" s="9">
        <f t="shared" si="11"/>
        <v>7.040475543555072E-2</v>
      </c>
      <c r="AP27" s="9">
        <f t="shared" si="11"/>
        <v>6.8041244224927605E-2</v>
      </c>
    </row>
    <row r="28" spans="1:42" s="2" customFormat="1">
      <c r="A28" s="4"/>
      <c r="B28" s="4"/>
      <c r="C28" s="7"/>
      <c r="D28" s="7"/>
      <c r="E28" s="6"/>
    </row>
    <row r="29" spans="1:42" s="2" customFormat="1">
      <c r="A29" s="4"/>
      <c r="B29" s="4"/>
      <c r="C29" s="7"/>
      <c r="D29" s="7"/>
      <c r="E29" s="6"/>
      <c r="AB29" s="5" t="e">
        <f>AB7-AB8</f>
        <v>#REF!</v>
      </c>
    </row>
    <row r="30" spans="1:42" s="2" customFormat="1">
      <c r="A30" s="4"/>
      <c r="B30" s="4"/>
    </row>
    <row r="31" spans="1:42" s="2" customFormat="1">
      <c r="A31" s="4"/>
      <c r="B31" s="3"/>
    </row>
    <row r="32" spans="1:42" s="2" customFormat="1">
      <c r="A32" s="4"/>
      <c r="B32" s="3"/>
    </row>
    <row r="33" spans="1:2" s="2" customFormat="1">
      <c r="A33" s="4"/>
      <c r="B33" s="3"/>
    </row>
    <row r="34" spans="1:2" s="2" customFormat="1">
      <c r="A34" s="4"/>
      <c r="B34" s="3"/>
    </row>
    <row r="35" spans="1:2" s="2" customFormat="1">
      <c r="A35" s="4"/>
      <c r="B35" s="4"/>
    </row>
    <row r="36" spans="1:2" s="2" customFormat="1">
      <c r="A36" s="4"/>
      <c r="B36" s="4"/>
    </row>
    <row r="37" spans="1:2" s="2" customFormat="1">
      <c r="A37" s="4"/>
      <c r="B37" s="4"/>
    </row>
    <row r="38" spans="1:2" s="2" customFormat="1">
      <c r="A38" s="4"/>
      <c r="B38" s="4"/>
    </row>
    <row r="39" spans="1:2" s="2" customFormat="1">
      <c r="A39" s="4"/>
      <c r="B39" s="3"/>
    </row>
    <row r="40" spans="1:2" s="2" customFormat="1">
      <c r="A40" s="4"/>
      <c r="B40" s="3"/>
    </row>
    <row r="41" spans="1:2" s="2" customFormat="1">
      <c r="A41" s="4"/>
      <c r="B41" s="3"/>
    </row>
    <row r="42" spans="1:2" s="2" customFormat="1">
      <c r="A42" s="4"/>
      <c r="B42" s="3"/>
    </row>
    <row r="43" spans="1:2" s="2" customFormat="1">
      <c r="A43" s="4"/>
      <c r="B43" s="3"/>
    </row>
    <row r="44" spans="1:2" s="2" customFormat="1">
      <c r="A44" s="4"/>
      <c r="B44" s="3"/>
    </row>
    <row r="45" spans="1:2" s="2" customFormat="1">
      <c r="A45" s="4"/>
      <c r="B45" s="3"/>
    </row>
    <row r="46" spans="1:2" s="2" customFormat="1">
      <c r="A46" s="4"/>
      <c r="B46" s="3"/>
    </row>
    <row r="47" spans="1:2" s="2" customFormat="1"/>
    <row r="48" spans="1:2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</sheetData>
  <mergeCells count="10">
    <mergeCell ref="A4:A5"/>
    <mergeCell ref="B4:B5"/>
    <mergeCell ref="C4:G4"/>
    <mergeCell ref="H4:L4"/>
    <mergeCell ref="M4:Q4"/>
    <mergeCell ref="AL4:AP4"/>
    <mergeCell ref="R4:V4"/>
    <mergeCell ref="W4:AA4"/>
    <mergeCell ref="AB4:AF4"/>
    <mergeCell ref="AG4:AK4"/>
  </mergeCells>
  <pageMargins left="0.7" right="0.7" top="0.75" bottom="0.75" header="0.3" footer="0.3"/>
  <pageSetup paperSize="9" scale="4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7"/>
  <sheetViews>
    <sheetView view="pageBreakPreview" topLeftCell="A10" zoomScale="70" zoomScaleNormal="100" zoomScaleSheetLayoutView="70" workbookViewId="0">
      <selection activeCell="D19" sqref="D19"/>
    </sheetView>
  </sheetViews>
  <sheetFormatPr defaultRowHeight="18.75"/>
  <cols>
    <col min="1" max="1" width="6.85546875" style="1" customWidth="1"/>
    <col min="2" max="2" width="66.7109375" style="1" customWidth="1"/>
    <col min="3" max="7" width="22.140625" style="1" customWidth="1"/>
    <col min="8" max="8" width="23.42578125" style="1" customWidth="1"/>
    <col min="9" max="9" width="18.5703125" style="1" customWidth="1"/>
    <col min="10" max="10" width="20.42578125" style="1" customWidth="1"/>
    <col min="11" max="11" width="19.140625" style="1" customWidth="1"/>
    <col min="12" max="12" width="22.7109375" style="1" customWidth="1"/>
    <col min="13" max="16384" width="9.140625" style="1"/>
  </cols>
  <sheetData>
    <row r="1" spans="1:12" s="92" customFormat="1" ht="23.25">
      <c r="A1" s="117" t="s">
        <v>46</v>
      </c>
      <c r="B1" s="91"/>
    </row>
    <row r="2" spans="1:12" s="92" customFormat="1" ht="23.25">
      <c r="A2" s="117" t="s">
        <v>23</v>
      </c>
      <c r="B2" s="91"/>
    </row>
    <row r="3" spans="1:12" s="92" customFormat="1" ht="21" thickBot="1">
      <c r="A3" s="90"/>
      <c r="B3" s="91"/>
    </row>
    <row r="4" spans="1:12" ht="31.5" customHeight="1">
      <c r="A4" s="293" t="s">
        <v>18</v>
      </c>
      <c r="B4" s="298" t="s">
        <v>17</v>
      </c>
      <c r="C4" s="289" t="s">
        <v>48</v>
      </c>
      <c r="D4" s="287"/>
      <c r="E4" s="287"/>
      <c r="F4" s="287"/>
      <c r="G4" s="297"/>
      <c r="H4" s="289" t="s">
        <v>59</v>
      </c>
      <c r="I4" s="287"/>
      <c r="J4" s="287"/>
      <c r="K4" s="287"/>
      <c r="L4" s="288"/>
    </row>
    <row r="5" spans="1:12" s="2" customFormat="1" ht="54" customHeight="1" thickBot="1">
      <c r="A5" s="294"/>
      <c r="B5" s="299"/>
      <c r="C5" s="82" t="s">
        <v>10</v>
      </c>
      <c r="D5" s="81" t="s">
        <v>9</v>
      </c>
      <c r="E5" s="81" t="s">
        <v>8</v>
      </c>
      <c r="F5" s="81" t="s">
        <v>7</v>
      </c>
      <c r="G5" s="192" t="s">
        <v>6</v>
      </c>
      <c r="H5" s="82" t="s">
        <v>10</v>
      </c>
      <c r="I5" s="81" t="s">
        <v>9</v>
      </c>
      <c r="J5" s="81" t="s">
        <v>8</v>
      </c>
      <c r="K5" s="81" t="s">
        <v>7</v>
      </c>
      <c r="L5" s="80" t="s">
        <v>6</v>
      </c>
    </row>
    <row r="6" spans="1:12" s="2" customFormat="1" ht="136.5">
      <c r="A6" s="148">
        <v>1</v>
      </c>
      <c r="B6" s="79" t="s">
        <v>47</v>
      </c>
      <c r="C6" s="71"/>
      <c r="D6" s="72"/>
      <c r="E6" s="72"/>
      <c r="F6" s="72"/>
      <c r="G6" s="193"/>
      <c r="H6" s="71"/>
      <c r="I6" s="72"/>
      <c r="J6" s="72"/>
      <c r="K6" s="72"/>
      <c r="L6" s="74"/>
    </row>
    <row r="7" spans="1:12" s="2" customFormat="1" ht="58.5">
      <c r="A7" s="145" t="s">
        <v>38</v>
      </c>
      <c r="B7" s="69" t="s">
        <v>35</v>
      </c>
      <c r="C7" s="113">
        <f>C8+C9</f>
        <v>569188.28957999998</v>
      </c>
      <c r="D7" s="105">
        <f>D8+D9</f>
        <v>64242.925880000003</v>
      </c>
      <c r="E7" s="105">
        <f>E8+E9</f>
        <v>71936.665999999983</v>
      </c>
      <c r="F7" s="105">
        <f t="shared" ref="F7" si="0">F8+F9</f>
        <v>228257.97630000001</v>
      </c>
      <c r="G7" s="194">
        <f>G8+G9</f>
        <v>204750.72139999998</v>
      </c>
      <c r="H7" s="113">
        <f>I7+J7+K7+L7</f>
        <v>590571.67000000004</v>
      </c>
      <c r="I7" s="105">
        <v>84251.68</v>
      </c>
      <c r="J7" s="105">
        <v>71883.531000000003</v>
      </c>
      <c r="K7" s="105">
        <v>258030.87599999999</v>
      </c>
      <c r="L7" s="106">
        <v>176405.58300000001</v>
      </c>
    </row>
    <row r="8" spans="1:12" s="2" customFormat="1" ht="39">
      <c r="A8" s="145" t="s">
        <v>39</v>
      </c>
      <c r="B8" s="164" t="s">
        <v>37</v>
      </c>
      <c r="C8" s="57">
        <f>D8+E8+F8+G8</f>
        <v>568980.37858000002</v>
      </c>
      <c r="D8" s="84">
        <f>D13+D16+D25+E10+F10+G10</f>
        <v>64242.925880000003</v>
      </c>
      <c r="E8" s="84">
        <f>289.896+E16</f>
        <v>71728.75499999999</v>
      </c>
      <c r="F8" s="84">
        <f>F13+F16+F25</f>
        <v>228257.97630000001</v>
      </c>
      <c r="G8" s="204">
        <f>G13+G16+G25</f>
        <v>204750.72139999998</v>
      </c>
      <c r="H8" s="57">
        <f>I8+J8+K8+L8</f>
        <v>169957.00699999998</v>
      </c>
      <c r="I8" s="84">
        <v>46926.057999999997</v>
      </c>
      <c r="J8" s="84">
        <v>64566.519</v>
      </c>
      <c r="K8" s="84">
        <v>58464.43</v>
      </c>
      <c r="L8" s="85">
        <v>0</v>
      </c>
    </row>
    <row r="9" spans="1:12" s="2" customFormat="1" ht="36.75" customHeight="1">
      <c r="A9" s="145" t="s">
        <v>53</v>
      </c>
      <c r="B9" s="165" t="s">
        <v>54</v>
      </c>
      <c r="C9" s="159">
        <f>SUM(C10:C12)</f>
        <v>207.911</v>
      </c>
      <c r="D9" s="161"/>
      <c r="E9" s="173">
        <f>E10+E11+E12</f>
        <v>207.911</v>
      </c>
      <c r="F9" s="173">
        <f t="shared" ref="F9:G9" si="1">F10+F11+F12</f>
        <v>0</v>
      </c>
      <c r="G9" s="205">
        <f t="shared" si="1"/>
        <v>0</v>
      </c>
      <c r="H9" s="159">
        <f>SUM(H10:H12)</f>
        <v>80825.58600000001</v>
      </c>
      <c r="I9" s="161"/>
      <c r="J9" s="173">
        <f>J10+J11+J12</f>
        <v>244.68600000000001</v>
      </c>
      <c r="K9" s="173">
        <f t="shared" ref="K9:L9" si="2">K10+K11+K12</f>
        <v>24727.534</v>
      </c>
      <c r="L9" s="174">
        <f t="shared" si="2"/>
        <v>55853.366000000002</v>
      </c>
    </row>
    <row r="10" spans="1:12" s="2" customFormat="1" ht="19.5">
      <c r="A10" s="145"/>
      <c r="B10" s="166" t="s">
        <v>9</v>
      </c>
      <c r="C10" s="168">
        <f>E10+F10+G10</f>
        <v>207.911</v>
      </c>
      <c r="D10" s="162"/>
      <c r="E10" s="162">
        <v>207.911</v>
      </c>
      <c r="F10" s="162"/>
      <c r="G10" s="167"/>
      <c r="H10" s="168">
        <f>J10+K10+L10</f>
        <v>24482.848000000002</v>
      </c>
      <c r="I10" s="162"/>
      <c r="J10" s="162">
        <v>244.68600000000001</v>
      </c>
      <c r="K10" s="162">
        <v>24238.162</v>
      </c>
      <c r="L10" s="175"/>
    </row>
    <row r="11" spans="1:12" s="2" customFormat="1" ht="19.5">
      <c r="A11" s="145"/>
      <c r="B11" s="166" t="s">
        <v>8</v>
      </c>
      <c r="C11" s="168">
        <f t="shared" ref="C11:C12" si="3">E11+F11+G11</f>
        <v>0</v>
      </c>
      <c r="D11" s="162"/>
      <c r="E11" s="162"/>
      <c r="F11" s="162"/>
      <c r="G11" s="167"/>
      <c r="H11" s="168">
        <f t="shared" ref="H11:H12" si="4">J11+K11+L11</f>
        <v>489.37200000000001</v>
      </c>
      <c r="I11" s="162"/>
      <c r="J11" s="162"/>
      <c r="K11" s="162">
        <v>489.37200000000001</v>
      </c>
      <c r="L11" s="175"/>
    </row>
    <row r="12" spans="1:12" s="2" customFormat="1" ht="19.5">
      <c r="A12" s="145"/>
      <c r="B12" s="164" t="s">
        <v>7</v>
      </c>
      <c r="C12" s="168">
        <f t="shared" si="3"/>
        <v>0</v>
      </c>
      <c r="D12" s="163"/>
      <c r="E12" s="163"/>
      <c r="F12" s="163"/>
      <c r="G12" s="167"/>
      <c r="H12" s="168">
        <f t="shared" si="4"/>
        <v>55853.366000000002</v>
      </c>
      <c r="I12" s="163"/>
      <c r="J12" s="163"/>
      <c r="K12" s="163"/>
      <c r="L12" s="175">
        <v>55853.366000000002</v>
      </c>
    </row>
    <row r="13" spans="1:12" s="2" customFormat="1" ht="36" customHeight="1">
      <c r="A13" s="145" t="s">
        <v>40</v>
      </c>
      <c r="B13" s="166" t="s">
        <v>36</v>
      </c>
      <c r="C13" s="99">
        <f>C14+C15</f>
        <v>340660.38199999998</v>
      </c>
      <c r="D13" s="100">
        <f>D14+D15</f>
        <v>4748.2290000000003</v>
      </c>
      <c r="E13" s="100">
        <f t="shared" ref="E13:G13" si="5">E14+E15</f>
        <v>312.096</v>
      </c>
      <c r="F13" s="100">
        <f t="shared" si="5"/>
        <v>141411.73300000001</v>
      </c>
      <c r="G13" s="195">
        <f t="shared" si="5"/>
        <v>194188.32399999996</v>
      </c>
      <c r="H13" s="99">
        <f>H14+H15</f>
        <v>358883.43900000001</v>
      </c>
      <c r="I13" s="100">
        <f>I14+I15</f>
        <v>7951.3109999999997</v>
      </c>
      <c r="J13" s="100">
        <f t="shared" ref="J13:L13" si="6">J14+J15</f>
        <v>6597.6120000000001</v>
      </c>
      <c r="K13" s="100">
        <f t="shared" si="6"/>
        <v>137555.51800000001</v>
      </c>
      <c r="L13" s="169">
        <f t="shared" si="6"/>
        <v>206778.99799999999</v>
      </c>
    </row>
    <row r="14" spans="1:12" s="2" customFormat="1" ht="58.5">
      <c r="A14" s="145" t="s">
        <v>42</v>
      </c>
      <c r="B14" s="166" t="s">
        <v>67</v>
      </c>
      <c r="C14" s="15">
        <f>G14+F14+E14+D14</f>
        <v>265276.63699999999</v>
      </c>
      <c r="D14" s="43">
        <v>441.75499999999994</v>
      </c>
      <c r="E14" s="43">
        <v>312.096</v>
      </c>
      <c r="F14" s="43">
        <v>70661.907999999996</v>
      </c>
      <c r="G14" s="196">
        <v>193860.87799999997</v>
      </c>
      <c r="H14" s="15">
        <f>L14+K14+J14+I14</f>
        <v>293270.86499999999</v>
      </c>
      <c r="I14" s="43">
        <v>3615.241</v>
      </c>
      <c r="J14" s="43">
        <v>6597.6120000000001</v>
      </c>
      <c r="K14" s="43">
        <v>76318.22</v>
      </c>
      <c r="L14" s="44">
        <v>206739.79199999999</v>
      </c>
    </row>
    <row r="15" spans="1:12" s="2" customFormat="1" ht="39">
      <c r="A15" s="145" t="s">
        <v>43</v>
      </c>
      <c r="B15" s="166" t="s">
        <v>4</v>
      </c>
      <c r="C15" s="15">
        <f>G15+F15+E15+D15</f>
        <v>75383.744999999995</v>
      </c>
      <c r="D15" s="43">
        <v>4306.4740000000002</v>
      </c>
      <c r="E15" s="43">
        <v>0</v>
      </c>
      <c r="F15" s="43">
        <f>70735.897+F20</f>
        <v>70749.824999999997</v>
      </c>
      <c r="G15" s="196">
        <f>104.155+G18+G19+G21</f>
        <v>327.44599999999997</v>
      </c>
      <c r="H15" s="15">
        <f>L15+K15+J15+I15</f>
        <v>65612.573999999993</v>
      </c>
      <c r="I15" s="43">
        <v>4336.07</v>
      </c>
      <c r="J15" s="43">
        <v>0</v>
      </c>
      <c r="K15" s="43">
        <v>61237.298000000003</v>
      </c>
      <c r="L15" s="44">
        <v>39.206000000000003</v>
      </c>
    </row>
    <row r="16" spans="1:12" s="2" customFormat="1" ht="19.5">
      <c r="A16" s="146" t="s">
        <v>58</v>
      </c>
      <c r="B16" s="180" t="s">
        <v>3</v>
      </c>
      <c r="C16" s="37">
        <f>E16+F16+G16+D16</f>
        <v>213216.478</v>
      </c>
      <c r="D16" s="176">
        <f>'Баланс 2018 план-факт'!AM16</f>
        <v>58982.862000000001</v>
      </c>
      <c r="E16" s="176">
        <f>'Баланс 2018 план-факт'!AN16</f>
        <v>71438.858999999997</v>
      </c>
      <c r="F16" s="176">
        <f>'Баланс 2018 план-факт'!AO16</f>
        <v>79184.472999999998</v>
      </c>
      <c r="G16" s="206">
        <f>'Баланс 2018 план-факт'!AP16</f>
        <v>3610.2840000000001</v>
      </c>
      <c r="H16" s="37">
        <f>J16+K16+L16+I16</f>
        <v>199813.18600000002</v>
      </c>
      <c r="I16" s="176">
        <v>51296.872000000003</v>
      </c>
      <c r="J16" s="176">
        <v>65005.127</v>
      </c>
      <c r="K16" s="176">
        <v>79704.448000000004</v>
      </c>
      <c r="L16" s="177">
        <v>3806.739</v>
      </c>
    </row>
    <row r="17" spans="1:12" s="2" customFormat="1" ht="96" customHeight="1">
      <c r="A17" s="149">
        <v>2</v>
      </c>
      <c r="B17" s="181" t="s">
        <v>30</v>
      </c>
      <c r="C17" s="131">
        <f t="shared" ref="C17:L17" si="7">SUM(C18:C23)</f>
        <v>7073.7359999999999</v>
      </c>
      <c r="D17" s="132">
        <f t="shared" si="7"/>
        <v>0</v>
      </c>
      <c r="E17" s="132">
        <f t="shared" si="7"/>
        <v>0</v>
      </c>
      <c r="F17" s="132">
        <f t="shared" si="7"/>
        <v>6850.4449999999997</v>
      </c>
      <c r="G17" s="178">
        <f t="shared" si="7"/>
        <v>223.291</v>
      </c>
      <c r="H17" s="131">
        <f t="shared" si="7"/>
        <v>5807.8240000000005</v>
      </c>
      <c r="I17" s="132">
        <f t="shared" si="7"/>
        <v>0</v>
      </c>
      <c r="J17" s="132">
        <f t="shared" si="7"/>
        <v>0</v>
      </c>
      <c r="K17" s="132">
        <f t="shared" si="7"/>
        <v>5486.3790000000008</v>
      </c>
      <c r="L17" s="170">
        <f t="shared" si="7"/>
        <v>321.44500000000005</v>
      </c>
    </row>
    <row r="18" spans="1:12" s="2" customFormat="1" ht="27" customHeight="1">
      <c r="A18" s="147"/>
      <c r="B18" s="182" t="s">
        <v>31</v>
      </c>
      <c r="C18" s="126">
        <f t="shared" ref="C18:C23" si="8">SUM(D18:G18)</f>
        <v>92.102999999999994</v>
      </c>
      <c r="D18" s="127" t="s">
        <v>33</v>
      </c>
      <c r="E18" s="128" t="s">
        <v>33</v>
      </c>
      <c r="F18" s="127" t="s">
        <v>33</v>
      </c>
      <c r="G18" s="128">
        <v>92.102999999999994</v>
      </c>
      <c r="H18" s="126">
        <f t="shared" ref="H18:H23" si="9">SUM(I18:L18)</f>
        <v>104.67700000000001</v>
      </c>
      <c r="I18" s="127" t="s">
        <v>33</v>
      </c>
      <c r="J18" s="128" t="s">
        <v>33</v>
      </c>
      <c r="K18" s="127" t="s">
        <v>33</v>
      </c>
      <c r="L18" s="129">
        <v>104.67700000000001</v>
      </c>
    </row>
    <row r="19" spans="1:12" s="2" customFormat="1" ht="27" customHeight="1">
      <c r="A19" s="147"/>
      <c r="B19" s="182" t="s">
        <v>52</v>
      </c>
      <c r="C19" s="126">
        <f t="shared" si="8"/>
        <v>60</v>
      </c>
      <c r="D19" s="127" t="s">
        <v>33</v>
      </c>
      <c r="E19" s="128" t="s">
        <v>33</v>
      </c>
      <c r="F19" s="127" t="s">
        <v>33</v>
      </c>
      <c r="G19" s="128">
        <v>60</v>
      </c>
      <c r="H19" s="126">
        <f t="shared" si="9"/>
        <v>40.951999999999998</v>
      </c>
      <c r="I19" s="127" t="s">
        <v>33</v>
      </c>
      <c r="J19" s="128" t="s">
        <v>33</v>
      </c>
      <c r="K19" s="127" t="s">
        <v>33</v>
      </c>
      <c r="L19" s="129">
        <v>40.951999999999998</v>
      </c>
    </row>
    <row r="20" spans="1:12" s="2" customFormat="1" ht="27" customHeight="1">
      <c r="A20" s="147"/>
      <c r="B20" s="182" t="s">
        <v>49</v>
      </c>
      <c r="C20" s="126">
        <f t="shared" si="8"/>
        <v>13.928000000000001</v>
      </c>
      <c r="D20" s="127" t="s">
        <v>33</v>
      </c>
      <c r="E20" s="128" t="s">
        <v>33</v>
      </c>
      <c r="F20" s="127">
        <v>13.928000000000001</v>
      </c>
      <c r="G20" s="128" t="s">
        <v>33</v>
      </c>
      <c r="H20" s="126">
        <f t="shared" si="9"/>
        <v>4.0140000000000002</v>
      </c>
      <c r="I20" s="127" t="s">
        <v>33</v>
      </c>
      <c r="J20" s="128" t="s">
        <v>33</v>
      </c>
      <c r="K20" s="127">
        <v>4.0140000000000002</v>
      </c>
      <c r="L20" s="129" t="s">
        <v>33</v>
      </c>
    </row>
    <row r="21" spans="1:12" s="2" customFormat="1" ht="27" customHeight="1">
      <c r="A21" s="147"/>
      <c r="B21" s="182" t="s">
        <v>50</v>
      </c>
      <c r="C21" s="126">
        <f t="shared" si="8"/>
        <v>71.188000000000002</v>
      </c>
      <c r="D21" s="127" t="s">
        <v>33</v>
      </c>
      <c r="E21" s="128" t="s">
        <v>33</v>
      </c>
      <c r="F21" s="127" t="s">
        <v>33</v>
      </c>
      <c r="G21" s="128">
        <v>71.188000000000002</v>
      </c>
      <c r="H21" s="126">
        <f t="shared" si="9"/>
        <v>275.18</v>
      </c>
      <c r="I21" s="127" t="s">
        <v>33</v>
      </c>
      <c r="J21" s="128" t="s">
        <v>33</v>
      </c>
      <c r="K21" s="127">
        <v>99.364000000000004</v>
      </c>
      <c r="L21" s="129">
        <v>175.816</v>
      </c>
    </row>
    <row r="22" spans="1:12" s="2" customFormat="1" ht="27" customHeight="1">
      <c r="A22" s="147"/>
      <c r="B22" s="182" t="s">
        <v>51</v>
      </c>
      <c r="C22" s="126">
        <f t="shared" si="8"/>
        <v>1906.0219999999999</v>
      </c>
      <c r="D22" s="127" t="s">
        <v>33</v>
      </c>
      <c r="E22" s="128" t="s">
        <v>33</v>
      </c>
      <c r="F22" s="127">
        <v>1906.0219999999999</v>
      </c>
      <c r="G22" s="128" t="s">
        <v>33</v>
      </c>
      <c r="H22" s="126">
        <f t="shared" si="9"/>
        <v>674.495</v>
      </c>
      <c r="I22" s="127" t="s">
        <v>33</v>
      </c>
      <c r="J22" s="128" t="s">
        <v>33</v>
      </c>
      <c r="K22" s="127">
        <v>674.495</v>
      </c>
      <c r="L22" s="129" t="s">
        <v>33</v>
      </c>
    </row>
    <row r="23" spans="1:12" s="2" customFormat="1" ht="27" customHeight="1">
      <c r="A23" s="147"/>
      <c r="B23" s="182" t="s">
        <v>29</v>
      </c>
      <c r="C23" s="126">
        <f t="shared" si="8"/>
        <v>4930.4949999999999</v>
      </c>
      <c r="D23" s="130" t="s">
        <v>33</v>
      </c>
      <c r="E23" s="128" t="s">
        <v>33</v>
      </c>
      <c r="F23" s="130">
        <v>4930.4949999999999</v>
      </c>
      <c r="G23" s="128" t="s">
        <v>33</v>
      </c>
      <c r="H23" s="126">
        <f t="shared" si="9"/>
        <v>4708.5060000000003</v>
      </c>
      <c r="I23" s="130" t="s">
        <v>33</v>
      </c>
      <c r="J23" s="128" t="s">
        <v>33</v>
      </c>
      <c r="K23" s="130">
        <v>4708.5060000000003</v>
      </c>
      <c r="L23" s="129" t="s">
        <v>33</v>
      </c>
    </row>
    <row r="24" spans="1:12" s="2" customFormat="1" ht="78">
      <c r="A24" s="149">
        <v>3</v>
      </c>
      <c r="B24" s="183" t="s">
        <v>2</v>
      </c>
      <c r="C24" s="29"/>
      <c r="D24" s="31"/>
      <c r="E24" s="31"/>
      <c r="F24" s="31"/>
      <c r="G24" s="197"/>
      <c r="H24" s="29"/>
      <c r="I24" s="31"/>
      <c r="J24" s="31"/>
      <c r="K24" s="31"/>
      <c r="L24" s="30"/>
    </row>
    <row r="25" spans="1:12" s="2" customFormat="1" ht="39">
      <c r="A25" s="145" t="s">
        <v>41</v>
      </c>
      <c r="B25" s="184" t="s">
        <v>1</v>
      </c>
      <c r="C25" s="17">
        <f>G25+F25+E25+D25</f>
        <v>15103.51871</v>
      </c>
      <c r="D25" s="187">
        <v>303.92388</v>
      </c>
      <c r="E25" s="187">
        <v>185.71113</v>
      </c>
      <c r="F25" s="187">
        <v>7661.7703000000001</v>
      </c>
      <c r="G25" s="198">
        <v>6952.1134000000002</v>
      </c>
      <c r="H25" s="17">
        <f>L25+K25+J25+I25</f>
        <v>15011.817000000001</v>
      </c>
      <c r="I25" s="187">
        <v>242.03200000000001</v>
      </c>
      <c r="J25" s="187">
        <v>16.082999999999998</v>
      </c>
      <c r="K25" s="187">
        <v>4490.9139999999998</v>
      </c>
      <c r="L25" s="188">
        <v>10262.788</v>
      </c>
    </row>
    <row r="26" spans="1:12" s="2" customFormat="1" ht="39">
      <c r="A26" s="145" t="s">
        <v>44</v>
      </c>
      <c r="B26" s="184" t="s">
        <v>0</v>
      </c>
      <c r="C26" s="189">
        <f t="shared" ref="C26" si="10">C25/(C8-C16)</f>
        <v>4.2453769720246524E-2</v>
      </c>
      <c r="D26" s="190">
        <f t="shared" ref="D26:I26" si="11">D25/(D7-D16)</f>
        <v>5.7779503620781103E-2</v>
      </c>
      <c r="E26" s="190">
        <f t="shared" si="11"/>
        <v>0.37305849455713797</v>
      </c>
      <c r="F26" s="190">
        <f t="shared" si="11"/>
        <v>5.1395923020479517E-2</v>
      </c>
      <c r="G26" s="199">
        <f t="shared" si="11"/>
        <v>3.4563479576086478E-2</v>
      </c>
      <c r="H26" s="189">
        <f t="shared" si="11"/>
        <v>3.8417123657384235E-2</v>
      </c>
      <c r="I26" s="190">
        <f t="shared" si="11"/>
        <v>7.3443607985821096E-3</v>
      </c>
      <c r="J26" s="190">
        <f t="shared" ref="J26:L26" si="12">J25/(J7-J16)</f>
        <v>2.3381877540196816E-3</v>
      </c>
      <c r="K26" s="190">
        <f t="shared" si="12"/>
        <v>2.5183670476481478E-2</v>
      </c>
      <c r="L26" s="191">
        <f t="shared" si="12"/>
        <v>5.9460351889726447E-2</v>
      </c>
    </row>
    <row r="27" spans="1:12" s="2" customFormat="1" ht="20.25" thickBot="1">
      <c r="A27" s="185" t="s">
        <v>65</v>
      </c>
      <c r="B27" s="186" t="s">
        <v>66</v>
      </c>
      <c r="C27" s="179"/>
      <c r="D27" s="200"/>
      <c r="E27" s="200"/>
      <c r="F27" s="200"/>
      <c r="G27" s="203"/>
      <c r="H27" s="179">
        <f>L27+K27+J27+I27</f>
        <v>16863.227999999999</v>
      </c>
      <c r="I27" s="201">
        <v>278.61700000000002</v>
      </c>
      <c r="J27" s="201">
        <v>20.023</v>
      </c>
      <c r="K27" s="201">
        <v>5154.1639999999998</v>
      </c>
      <c r="L27" s="202">
        <v>11410.424000000001</v>
      </c>
    </row>
    <row r="28" spans="1:12" s="2" customFormat="1">
      <c r="A28" s="4"/>
      <c r="B28" s="4"/>
    </row>
    <row r="29" spans="1:12" s="2" customFormat="1">
      <c r="A29" s="4"/>
      <c r="B29" s="4"/>
    </row>
    <row r="30" spans="1:12" s="2" customFormat="1">
      <c r="A30" s="4"/>
      <c r="B30" s="3"/>
    </row>
    <row r="31" spans="1:12" s="2" customFormat="1">
      <c r="A31" s="4"/>
      <c r="B31" s="3"/>
      <c r="H31" s="5"/>
    </row>
    <row r="32" spans="1:12" s="2" customFormat="1">
      <c r="A32" s="4"/>
      <c r="B32" s="3"/>
    </row>
    <row r="33" spans="1:2" s="2" customFormat="1">
      <c r="A33" s="4"/>
      <c r="B33" s="3"/>
    </row>
    <row r="34" spans="1:2" s="2" customFormat="1">
      <c r="A34" s="4"/>
      <c r="B34" s="4"/>
    </row>
    <row r="35" spans="1:2" s="2" customFormat="1">
      <c r="A35" s="4"/>
      <c r="B35" s="4"/>
    </row>
    <row r="36" spans="1:2" s="2" customFormat="1">
      <c r="A36" s="4"/>
      <c r="B36" s="4"/>
    </row>
    <row r="37" spans="1:2" s="2" customFormat="1">
      <c r="A37" s="4"/>
      <c r="B37" s="4"/>
    </row>
    <row r="38" spans="1:2" s="2" customFormat="1">
      <c r="A38" s="4"/>
      <c r="B38" s="3"/>
    </row>
    <row r="39" spans="1:2" s="2" customFormat="1">
      <c r="A39" s="4"/>
      <c r="B39" s="3"/>
    </row>
    <row r="40" spans="1:2" s="2" customFormat="1">
      <c r="A40" s="4"/>
      <c r="B40" s="3"/>
    </row>
    <row r="41" spans="1:2" s="2" customFormat="1">
      <c r="A41" s="4"/>
      <c r="B41" s="3"/>
    </row>
    <row r="42" spans="1:2" s="2" customFormat="1">
      <c r="A42" s="4"/>
      <c r="B42" s="3"/>
    </row>
    <row r="43" spans="1:2" s="2" customFormat="1">
      <c r="A43" s="4"/>
      <c r="B43" s="3"/>
    </row>
    <row r="44" spans="1:2" s="2" customFormat="1">
      <c r="A44" s="4"/>
      <c r="B44" s="3"/>
    </row>
    <row r="45" spans="1:2" s="2" customFormat="1">
      <c r="A45" s="4"/>
      <c r="B45" s="3"/>
    </row>
    <row r="46" spans="1:2" s="2" customFormat="1"/>
    <row r="47" spans="1:2" s="2" customFormat="1"/>
    <row r="48" spans="1:2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</sheetData>
  <mergeCells count="4">
    <mergeCell ref="C4:G4"/>
    <mergeCell ref="A4:A5"/>
    <mergeCell ref="B4:B5"/>
    <mergeCell ref="H4:L4"/>
  </mergeCells>
  <pageMargins left="0.7" right="0.7" top="0.75" bottom="0.75" header="0.3" footer="0.3"/>
  <pageSetup paperSize="9" scale="3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90"/>
  <sheetViews>
    <sheetView tabSelected="1" zoomScale="66" zoomScaleNormal="66" workbookViewId="0">
      <selection activeCell="C6" sqref="C6:G30"/>
    </sheetView>
  </sheetViews>
  <sheetFormatPr defaultRowHeight="18.75"/>
  <cols>
    <col min="1" max="1" width="6.85546875" style="211" customWidth="1"/>
    <col min="2" max="2" width="66.7109375" style="211" customWidth="1"/>
    <col min="3" max="3" width="20.42578125" style="211" customWidth="1"/>
    <col min="4" max="5" width="16.7109375" style="211" customWidth="1"/>
    <col min="6" max="6" width="19.42578125" style="211" customWidth="1"/>
    <col min="7" max="7" width="19.85546875" style="211" customWidth="1"/>
    <col min="8" max="10" width="16.7109375" style="211" customWidth="1"/>
    <col min="11" max="11" width="19.42578125" style="211" customWidth="1"/>
    <col min="12" max="12" width="19.85546875" style="211" customWidth="1"/>
    <col min="13" max="13" width="9.140625" style="211"/>
    <col min="14" max="14" width="13.42578125" style="211" bestFit="1" customWidth="1"/>
    <col min="15" max="15" width="20" style="211" customWidth="1"/>
    <col min="16" max="16" width="21.7109375" style="211" customWidth="1"/>
    <col min="17" max="17" width="18.42578125" style="211" customWidth="1"/>
    <col min="18" max="16384" width="9.140625" style="211"/>
  </cols>
  <sheetData>
    <row r="1" spans="1:16" s="209" customFormat="1" ht="23.25">
      <c r="A1" s="207" t="s">
        <v>46</v>
      </c>
      <c r="B1" s="208"/>
    </row>
    <row r="2" spans="1:16" s="209" customFormat="1" ht="23.25">
      <c r="A2" s="207" t="s">
        <v>23</v>
      </c>
      <c r="B2" s="208"/>
      <c r="H2" s="259"/>
    </row>
    <row r="3" spans="1:16" s="209" customFormat="1" ht="21" thickBot="1">
      <c r="A3" s="210"/>
      <c r="B3" s="208"/>
      <c r="C3" s="258"/>
      <c r="D3" s="218"/>
      <c r="E3" s="218"/>
      <c r="F3" s="218"/>
      <c r="G3" s="218"/>
    </row>
    <row r="4" spans="1:16" ht="31.5" customHeight="1">
      <c r="A4" s="300" t="s">
        <v>18</v>
      </c>
      <c r="B4" s="302" t="s">
        <v>17</v>
      </c>
      <c r="C4" s="290" t="s">
        <v>70</v>
      </c>
      <c r="D4" s="291"/>
      <c r="E4" s="291"/>
      <c r="F4" s="291"/>
      <c r="G4" s="304"/>
      <c r="H4" s="290" t="s">
        <v>69</v>
      </c>
      <c r="I4" s="291"/>
      <c r="J4" s="291"/>
      <c r="K4" s="291"/>
      <c r="L4" s="292"/>
    </row>
    <row r="5" spans="1:16" s="212" customFormat="1" ht="54" customHeight="1" thickBot="1">
      <c r="A5" s="301"/>
      <c r="B5" s="303"/>
      <c r="C5" s="82" t="s">
        <v>10</v>
      </c>
      <c r="D5" s="81" t="s">
        <v>9</v>
      </c>
      <c r="E5" s="81" t="s">
        <v>8</v>
      </c>
      <c r="F5" s="81" t="s">
        <v>7</v>
      </c>
      <c r="G5" s="192" t="s">
        <v>6</v>
      </c>
      <c r="H5" s="82" t="s">
        <v>10</v>
      </c>
      <c r="I5" s="81" t="s">
        <v>9</v>
      </c>
      <c r="J5" s="81" t="s">
        <v>8</v>
      </c>
      <c r="K5" s="81" t="s">
        <v>7</v>
      </c>
      <c r="L5" s="80" t="s">
        <v>6</v>
      </c>
    </row>
    <row r="6" spans="1:16" s="212" customFormat="1" ht="126.75" customHeight="1">
      <c r="A6" s="246">
        <v>1</v>
      </c>
      <c r="B6" s="268" t="s">
        <v>47</v>
      </c>
      <c r="C6" s="305"/>
      <c r="D6" s="306"/>
      <c r="E6" s="306"/>
      <c r="F6" s="306"/>
      <c r="G6" s="307"/>
      <c r="H6" s="283"/>
      <c r="I6" s="281"/>
      <c r="J6" s="281"/>
      <c r="K6" s="281"/>
      <c r="L6" s="282"/>
    </row>
    <row r="7" spans="1:16" s="212" customFormat="1" ht="64.5" customHeight="1">
      <c r="A7" s="213" t="s">
        <v>38</v>
      </c>
      <c r="B7" s="269" t="s">
        <v>68</v>
      </c>
      <c r="C7" s="33">
        <f>D7+E7+F7+G7</f>
        <v>588669.071</v>
      </c>
      <c r="D7" s="176">
        <v>142677.06599999999</v>
      </c>
      <c r="E7" s="176">
        <v>67560.516000000003</v>
      </c>
      <c r="F7" s="176">
        <v>242319.872</v>
      </c>
      <c r="G7" s="177">
        <v>136111.617</v>
      </c>
      <c r="H7" s="272"/>
      <c r="I7" s="176"/>
      <c r="J7" s="176"/>
      <c r="K7" s="176"/>
      <c r="L7" s="177"/>
      <c r="N7" s="220"/>
    </row>
    <row r="8" spans="1:16" s="212" customFormat="1" ht="39">
      <c r="A8" s="213" t="s">
        <v>39</v>
      </c>
      <c r="B8" s="61" t="s">
        <v>37</v>
      </c>
      <c r="C8" s="55">
        <f>D8+E8+F8+G8</f>
        <v>460885.86</v>
      </c>
      <c r="D8" s="54">
        <f>D7-D9</f>
        <v>142677.06599999999</v>
      </c>
      <c r="E8" s="54">
        <f t="shared" ref="E8:G8" si="0">E7-E9</f>
        <v>67527.239000000001</v>
      </c>
      <c r="F8" s="54">
        <f t="shared" si="0"/>
        <v>183797.51199999999</v>
      </c>
      <c r="G8" s="56">
        <f t="shared" si="0"/>
        <v>66884.043000000005</v>
      </c>
      <c r="H8" s="273"/>
      <c r="I8" s="176"/>
      <c r="J8" s="176"/>
      <c r="K8" s="176"/>
      <c r="L8" s="177"/>
      <c r="P8" s="220"/>
    </row>
    <row r="9" spans="1:16" s="212" customFormat="1" ht="36.75" customHeight="1">
      <c r="A9" s="213" t="s">
        <v>53</v>
      </c>
      <c r="B9" s="270" t="s">
        <v>54</v>
      </c>
      <c r="C9" s="231">
        <f>SUM(C10:C13)</f>
        <v>127783.211</v>
      </c>
      <c r="D9" s="232">
        <f t="shared" ref="D9:G9" si="1">SUM(D10:D13)</f>
        <v>0</v>
      </c>
      <c r="E9" s="232">
        <f t="shared" si="1"/>
        <v>33.277000000000001</v>
      </c>
      <c r="F9" s="232">
        <f t="shared" si="1"/>
        <v>58522.36</v>
      </c>
      <c r="G9" s="233">
        <f t="shared" si="1"/>
        <v>69227.573999999993</v>
      </c>
      <c r="H9" s="274"/>
      <c r="I9" s="28"/>
      <c r="J9" s="265"/>
      <c r="K9" s="265"/>
      <c r="L9" s="233"/>
      <c r="O9" s="220"/>
      <c r="P9" s="220"/>
    </row>
    <row r="10" spans="1:16" s="212" customFormat="1" ht="19.5">
      <c r="A10" s="213"/>
      <c r="B10" s="49" t="s">
        <v>9</v>
      </c>
      <c r="C10" s="234">
        <f>D10+E10+F10+G10</f>
        <v>58555.637000000002</v>
      </c>
      <c r="D10" s="50"/>
      <c r="E10" s="19">
        <v>33.277000000000001</v>
      </c>
      <c r="F10" s="50">
        <v>58522.36</v>
      </c>
      <c r="G10" s="44"/>
      <c r="H10" s="196"/>
      <c r="I10" s="50"/>
      <c r="J10" s="50"/>
      <c r="K10" s="50"/>
      <c r="L10" s="44"/>
    </row>
    <row r="11" spans="1:16" s="212" customFormat="1" ht="19.5">
      <c r="A11" s="213"/>
      <c r="B11" s="49" t="s">
        <v>8</v>
      </c>
      <c r="C11" s="234">
        <f t="shared" ref="C11:C13" si="2">D11+E11+F11+G11</f>
        <v>0</v>
      </c>
      <c r="D11" s="50"/>
      <c r="F11" s="235"/>
      <c r="G11" s="44"/>
      <c r="H11" s="196"/>
      <c r="I11" s="50"/>
      <c r="J11" s="50"/>
      <c r="K11" s="50"/>
      <c r="L11" s="44"/>
      <c r="O11" s="220"/>
    </row>
    <row r="12" spans="1:16" s="212" customFormat="1" ht="19.5">
      <c r="A12" s="213"/>
      <c r="B12" s="49" t="s">
        <v>7</v>
      </c>
      <c r="C12" s="234">
        <f t="shared" si="2"/>
        <v>0</v>
      </c>
      <c r="D12" s="50"/>
      <c r="E12" s="19"/>
      <c r="F12" s="50"/>
      <c r="G12" s="44"/>
      <c r="H12" s="196"/>
      <c r="I12" s="50"/>
      <c r="J12" s="50"/>
      <c r="K12" s="50"/>
      <c r="L12" s="44"/>
      <c r="P12" s="220"/>
    </row>
    <row r="13" spans="1:16" s="212" customFormat="1" ht="19.5">
      <c r="A13" s="213"/>
      <c r="B13" s="61" t="s">
        <v>6</v>
      </c>
      <c r="C13" s="234">
        <f t="shared" si="2"/>
        <v>69227.573999999993</v>
      </c>
      <c r="D13" s="46"/>
      <c r="E13" s="236"/>
      <c r="F13" s="46"/>
      <c r="G13" s="44">
        <v>69227.573999999993</v>
      </c>
      <c r="H13" s="196"/>
      <c r="I13" s="46"/>
      <c r="J13" s="46"/>
      <c r="K13" s="46"/>
      <c r="L13" s="44"/>
      <c r="O13" s="220"/>
    </row>
    <row r="14" spans="1:16" s="212" customFormat="1" ht="36" customHeight="1">
      <c r="A14" s="213" t="s">
        <v>40</v>
      </c>
      <c r="B14" s="49" t="s">
        <v>36</v>
      </c>
      <c r="C14" s="37">
        <f>C15+C16</f>
        <v>366386.92699999997</v>
      </c>
      <c r="D14" s="261">
        <f>D15+D16</f>
        <v>32292.557000000001</v>
      </c>
      <c r="E14" s="261">
        <f>E15+E16</f>
        <v>7315.009</v>
      </c>
      <c r="F14" s="261">
        <f t="shared" ref="F14:G14" si="3">F15+F16</f>
        <v>147224.073</v>
      </c>
      <c r="G14" s="262">
        <f t="shared" si="3"/>
        <v>179555.288</v>
      </c>
      <c r="H14" s="266"/>
      <c r="I14" s="28"/>
      <c r="J14" s="28"/>
      <c r="K14" s="28"/>
      <c r="L14" s="27"/>
    </row>
    <row r="15" spans="1:16" s="212" customFormat="1" ht="58.5">
      <c r="A15" s="213" t="s">
        <v>42</v>
      </c>
      <c r="B15" s="49" t="s">
        <v>60</v>
      </c>
      <c r="C15" s="37">
        <f>G15+F15+E15+D15</f>
        <v>289356.34899999999</v>
      </c>
      <c r="D15" s="261">
        <f>32292.557-5264.317</f>
        <v>27028.240000000002</v>
      </c>
      <c r="E15" s="261">
        <v>7315.009</v>
      </c>
      <c r="F15" s="261">
        <f>147224.073-71713.337</f>
        <v>75510.736000000004</v>
      </c>
      <c r="G15" s="262">
        <f>179555.288-52.924</f>
        <v>179502.364</v>
      </c>
      <c r="H15" s="266"/>
      <c r="I15" s="261"/>
      <c r="J15" s="261"/>
      <c r="K15" s="261"/>
      <c r="L15" s="262"/>
      <c r="O15" s="220"/>
      <c r="P15" s="220"/>
    </row>
    <row r="16" spans="1:16" s="212" customFormat="1" ht="39">
      <c r="A16" s="213" t="s">
        <v>43</v>
      </c>
      <c r="B16" s="49" t="s">
        <v>4</v>
      </c>
      <c r="C16" s="37">
        <f>G16+F16+E16+D16</f>
        <v>77030.577999999994</v>
      </c>
      <c r="D16" s="261">
        <v>5264.317</v>
      </c>
      <c r="E16" s="261">
        <v>0</v>
      </c>
      <c r="F16" s="261">
        <v>71713.337</v>
      </c>
      <c r="G16" s="262">
        <v>52.923999999999999</v>
      </c>
      <c r="H16" s="267"/>
      <c r="I16" s="43"/>
      <c r="J16" s="43"/>
      <c r="K16" s="43"/>
      <c r="L16" s="44"/>
    </row>
    <row r="17" spans="1:12" s="212" customFormat="1" ht="19.5">
      <c r="A17" s="214" t="s">
        <v>58</v>
      </c>
      <c r="B17" s="36" t="s">
        <v>3</v>
      </c>
      <c r="C17" s="37">
        <f>E17+F17+G17+D17</f>
        <v>190062.33200000002</v>
      </c>
      <c r="D17" s="176">
        <v>51575.82</v>
      </c>
      <c r="E17" s="176">
        <v>60244.175999999999</v>
      </c>
      <c r="F17" s="176">
        <v>74711.277000000002</v>
      </c>
      <c r="G17" s="177">
        <v>3531.0590000000002</v>
      </c>
      <c r="H17" s="266"/>
      <c r="I17" s="263"/>
      <c r="J17" s="263"/>
      <c r="K17" s="263"/>
      <c r="L17" s="264"/>
    </row>
    <row r="18" spans="1:12" s="212" customFormat="1" ht="96" customHeight="1">
      <c r="A18" s="149">
        <v>2</v>
      </c>
      <c r="B18" s="118" t="s">
        <v>30</v>
      </c>
      <c r="C18" s="29">
        <f t="shared" ref="C18:L18" si="4">SUM(C19:C26)</f>
        <v>37496.539000000004</v>
      </c>
      <c r="D18" s="237">
        <f t="shared" si="4"/>
        <v>25104.042000000001</v>
      </c>
      <c r="E18" s="237">
        <f t="shared" si="4"/>
        <v>7054.1540000000005</v>
      </c>
      <c r="F18" s="238">
        <f t="shared" si="4"/>
        <v>4815.0720000000001</v>
      </c>
      <c r="G18" s="239">
        <f t="shared" si="4"/>
        <v>523.27099999999996</v>
      </c>
      <c r="H18" s="275"/>
      <c r="I18" s="250"/>
      <c r="J18" s="250"/>
      <c r="K18" s="251"/>
      <c r="L18" s="252"/>
    </row>
    <row r="19" spans="1:12" s="212" customFormat="1" ht="27" customHeight="1">
      <c r="A19" s="147"/>
      <c r="B19" s="125" t="s">
        <v>31</v>
      </c>
      <c r="C19" s="126">
        <f t="shared" ref="C19:C26" si="5">SUM(D19:G19)</f>
        <v>113.886</v>
      </c>
      <c r="D19" s="127" t="s">
        <v>33</v>
      </c>
      <c r="E19" s="128" t="s">
        <v>33</v>
      </c>
      <c r="F19" s="240" t="s">
        <v>33</v>
      </c>
      <c r="G19" s="241">
        <v>113.886</v>
      </c>
      <c r="H19" s="276"/>
      <c r="I19" s="127"/>
      <c r="J19" s="128"/>
      <c r="K19" s="240"/>
      <c r="L19" s="241"/>
    </row>
    <row r="20" spans="1:12" s="212" customFormat="1" ht="27" customHeight="1">
      <c r="A20" s="147"/>
      <c r="B20" s="125" t="s">
        <v>52</v>
      </c>
      <c r="C20" s="126">
        <f t="shared" si="5"/>
        <v>0</v>
      </c>
      <c r="D20" s="127" t="s">
        <v>33</v>
      </c>
      <c r="E20" s="128" t="s">
        <v>33</v>
      </c>
      <c r="F20" s="240" t="s">
        <v>33</v>
      </c>
      <c r="G20" s="241">
        <v>0</v>
      </c>
      <c r="H20" s="276"/>
      <c r="I20" s="127"/>
      <c r="J20" s="128"/>
      <c r="K20" s="240"/>
      <c r="L20" s="241"/>
    </row>
    <row r="21" spans="1:12" s="212" customFormat="1" ht="27" customHeight="1">
      <c r="A21" s="147"/>
      <c r="B21" s="125" t="s">
        <v>49</v>
      </c>
      <c r="C21" s="126">
        <f t="shared" si="5"/>
        <v>18.509</v>
      </c>
      <c r="D21" s="127" t="s">
        <v>33</v>
      </c>
      <c r="E21" s="128" t="s">
        <v>33</v>
      </c>
      <c r="F21" s="240">
        <v>18.509</v>
      </c>
      <c r="G21" s="241" t="s">
        <v>33</v>
      </c>
      <c r="H21" s="276"/>
      <c r="I21" s="127"/>
      <c r="J21" s="128"/>
      <c r="K21" s="240"/>
      <c r="L21" s="241"/>
    </row>
    <row r="22" spans="1:12" s="212" customFormat="1" ht="27" customHeight="1">
      <c r="A22" s="147"/>
      <c r="B22" s="125" t="s">
        <v>50</v>
      </c>
      <c r="C22" s="126">
        <f t="shared" si="5"/>
        <v>607.18100000000004</v>
      </c>
      <c r="D22" s="127" t="s">
        <v>33</v>
      </c>
      <c r="E22" s="128" t="s">
        <v>33</v>
      </c>
      <c r="F22" s="240">
        <v>197.79599999999999</v>
      </c>
      <c r="G22" s="241">
        <v>409.38499999999999</v>
      </c>
      <c r="H22" s="276"/>
      <c r="I22" s="127"/>
      <c r="J22" s="128"/>
      <c r="K22" s="240"/>
      <c r="L22" s="241"/>
    </row>
    <row r="23" spans="1:12" s="212" customFormat="1" ht="27" customHeight="1">
      <c r="A23" s="147"/>
      <c r="B23" s="125" t="s">
        <v>61</v>
      </c>
      <c r="C23" s="126">
        <f t="shared" si="5"/>
        <v>7054.1540000000005</v>
      </c>
      <c r="D23" s="127"/>
      <c r="E23" s="128">
        <v>7054.1540000000005</v>
      </c>
      <c r="F23" s="240" t="s">
        <v>33</v>
      </c>
      <c r="G23" s="241" t="s">
        <v>33</v>
      </c>
      <c r="H23" s="276"/>
      <c r="I23" s="127"/>
      <c r="J23" s="128"/>
      <c r="K23" s="226"/>
      <c r="L23" s="227"/>
    </row>
    <row r="24" spans="1:12" s="212" customFormat="1" ht="27" customHeight="1">
      <c r="A24" s="147"/>
      <c r="B24" s="125" t="s">
        <v>62</v>
      </c>
      <c r="C24" s="126">
        <f t="shared" si="5"/>
        <v>25104.042000000001</v>
      </c>
      <c r="D24" s="127">
        <v>25104.042000000001</v>
      </c>
      <c r="E24" s="127" t="s">
        <v>33</v>
      </c>
      <c r="F24" s="128" t="s">
        <v>33</v>
      </c>
      <c r="G24" s="241" t="s">
        <v>33</v>
      </c>
      <c r="H24" s="276"/>
      <c r="I24" s="127"/>
      <c r="J24" s="127"/>
      <c r="K24" s="225"/>
      <c r="L24" s="227"/>
    </row>
    <row r="25" spans="1:12" s="212" customFormat="1" ht="27" customHeight="1">
      <c r="A25" s="147"/>
      <c r="B25" s="125" t="s">
        <v>63</v>
      </c>
      <c r="C25" s="126">
        <f t="shared" si="5"/>
        <v>4598.7669999999998</v>
      </c>
      <c r="D25" s="127" t="s">
        <v>33</v>
      </c>
      <c r="E25" s="128" t="s">
        <v>33</v>
      </c>
      <c r="F25" s="240">
        <v>4598.7669999999998</v>
      </c>
      <c r="G25" s="241"/>
      <c r="H25" s="276"/>
      <c r="I25" s="127"/>
      <c r="J25" s="128"/>
      <c r="K25" s="240"/>
      <c r="L25" s="227"/>
    </row>
    <row r="26" spans="1:12" s="212" customFormat="1" ht="27" customHeight="1">
      <c r="A26" s="147"/>
      <c r="B26" s="125" t="s">
        <v>64</v>
      </c>
      <c r="C26" s="126">
        <f t="shared" si="5"/>
        <v>0</v>
      </c>
      <c r="D26" s="130" t="s">
        <v>33</v>
      </c>
      <c r="E26" s="128" t="s">
        <v>33</v>
      </c>
      <c r="F26" s="242">
        <v>0</v>
      </c>
      <c r="G26" s="243" t="s">
        <v>33</v>
      </c>
      <c r="H26" s="276"/>
      <c r="I26" s="130"/>
      <c r="J26" s="128"/>
      <c r="K26" s="242"/>
      <c r="L26" s="228"/>
    </row>
    <row r="27" spans="1:12" s="212" customFormat="1" ht="78">
      <c r="A27" s="149">
        <v>3</v>
      </c>
      <c r="B27" s="32" t="s">
        <v>2</v>
      </c>
      <c r="C27" s="224"/>
      <c r="D27" s="221"/>
      <c r="E27" s="221"/>
      <c r="F27" s="221"/>
      <c r="G27" s="223"/>
      <c r="H27" s="277"/>
      <c r="I27" s="221"/>
      <c r="J27" s="221"/>
      <c r="K27" s="221"/>
      <c r="L27" s="223"/>
    </row>
    <row r="28" spans="1:12" s="212" customFormat="1" ht="39">
      <c r="A28" s="213" t="s">
        <v>41</v>
      </c>
      <c r="B28" s="49" t="s">
        <v>1</v>
      </c>
      <c r="C28" s="15">
        <f>G28+F28+E28+D28</f>
        <v>25340.260999999999</v>
      </c>
      <c r="D28" s="14">
        <v>195.459</v>
      </c>
      <c r="E28" s="14">
        <v>26.513999999999999</v>
      </c>
      <c r="F28" s="14">
        <v>7521.8190000000004</v>
      </c>
      <c r="G28" s="16">
        <v>17596.469000000001</v>
      </c>
      <c r="H28" s="278"/>
      <c r="I28" s="248"/>
      <c r="J28" s="248"/>
      <c r="K28" s="248"/>
      <c r="L28" s="249"/>
    </row>
    <row r="29" spans="1:12" s="212" customFormat="1" ht="39">
      <c r="A29" s="215" t="s">
        <v>44</v>
      </c>
      <c r="B29" s="269" t="s">
        <v>0</v>
      </c>
      <c r="C29" s="308">
        <f>C28/(C7-C17)</f>
        <v>6.3572083762487519E-2</v>
      </c>
      <c r="D29" s="309">
        <f>D28/(D7-D17)</f>
        <v>2.1455140141551964E-3</v>
      </c>
      <c r="E29" s="309">
        <f>E28/(E7-E17)</f>
        <v>3.6239431191005321E-3</v>
      </c>
      <c r="F29" s="309">
        <f>F28/(F7-F17)</f>
        <v>4.4877286871833753E-2</v>
      </c>
      <c r="G29" s="310">
        <f>G28/(G7-G17)</f>
        <v>0.13272284613555482</v>
      </c>
      <c r="H29" s="279"/>
      <c r="I29" s="255"/>
      <c r="J29" s="256"/>
      <c r="K29" s="256"/>
      <c r="L29" s="257"/>
    </row>
    <row r="30" spans="1:12" s="212" customFormat="1" ht="25.5" customHeight="1" thickBot="1">
      <c r="A30" s="219" t="s">
        <v>65</v>
      </c>
      <c r="B30" s="271" t="s">
        <v>66</v>
      </c>
      <c r="C30" s="247">
        <f>G30+F30+E30+D30</f>
        <v>6879.5510000000004</v>
      </c>
      <c r="D30" s="244">
        <v>57.627000000000002</v>
      </c>
      <c r="E30" s="244">
        <v>8.0939999999999994</v>
      </c>
      <c r="F30" s="244">
        <v>2157.4549999999999</v>
      </c>
      <c r="G30" s="245">
        <v>4656.375</v>
      </c>
      <c r="H30" s="280"/>
      <c r="I30" s="229"/>
      <c r="J30" s="229"/>
      <c r="K30" s="229"/>
      <c r="L30" s="230"/>
    </row>
    <row r="31" spans="1:12" s="212" customFormat="1">
      <c r="A31" s="216"/>
      <c r="B31" s="216"/>
      <c r="C31" s="222"/>
      <c r="D31" s="222"/>
      <c r="E31" s="222"/>
      <c r="F31" s="222"/>
      <c r="G31" s="222"/>
      <c r="H31" s="222"/>
      <c r="I31" s="222"/>
      <c r="J31" s="222"/>
      <c r="K31" s="222"/>
      <c r="L31" s="222"/>
    </row>
    <row r="32" spans="1:12" s="212" customFormat="1">
      <c r="A32" s="216"/>
      <c r="B32" s="216"/>
      <c r="C32" s="220"/>
      <c r="D32" s="220"/>
      <c r="E32" s="220"/>
      <c r="F32" s="220"/>
      <c r="G32" s="220"/>
      <c r="H32" s="220"/>
      <c r="I32" s="220"/>
      <c r="J32" s="220"/>
      <c r="K32" s="220"/>
      <c r="L32" s="220"/>
    </row>
    <row r="33" spans="1:12" s="212" customFormat="1">
      <c r="A33" s="216"/>
      <c r="B33" s="217"/>
      <c r="C33" s="218"/>
      <c r="E33" s="218"/>
      <c r="F33" s="218"/>
      <c r="G33" s="218"/>
      <c r="H33" s="254"/>
      <c r="I33" s="254"/>
      <c r="J33" s="254"/>
      <c r="K33" s="254"/>
      <c r="L33" s="254"/>
    </row>
    <row r="34" spans="1:12" s="212" customFormat="1">
      <c r="A34" s="216"/>
      <c r="B34" s="217"/>
      <c r="H34" s="253"/>
      <c r="L34" s="218"/>
    </row>
    <row r="35" spans="1:12" s="212" customFormat="1">
      <c r="A35" s="216"/>
      <c r="B35" s="217"/>
      <c r="H35" s="260"/>
      <c r="I35" s="254"/>
      <c r="J35" s="254"/>
      <c r="K35" s="254"/>
      <c r="L35" s="254"/>
    </row>
    <row r="36" spans="1:12" s="212" customFormat="1">
      <c r="A36" s="216"/>
      <c r="B36" s="217"/>
      <c r="H36" s="253"/>
      <c r="L36" s="218"/>
    </row>
    <row r="37" spans="1:12" s="212" customFormat="1">
      <c r="A37" s="216"/>
      <c r="B37" s="216"/>
      <c r="H37" s="253"/>
    </row>
    <row r="38" spans="1:12" s="212" customFormat="1">
      <c r="A38" s="216"/>
      <c r="B38" s="216"/>
      <c r="H38" s="253"/>
    </row>
    <row r="39" spans="1:12" s="212" customFormat="1">
      <c r="A39" s="216"/>
      <c r="B39" s="216"/>
    </row>
    <row r="40" spans="1:12" s="212" customFormat="1">
      <c r="A40" s="216"/>
      <c r="B40" s="216"/>
    </row>
    <row r="41" spans="1:12" s="212" customFormat="1">
      <c r="A41" s="216"/>
      <c r="B41" s="217"/>
    </row>
    <row r="42" spans="1:12" s="212" customFormat="1">
      <c r="A42" s="216"/>
      <c r="B42" s="217"/>
    </row>
    <row r="43" spans="1:12" s="212" customFormat="1">
      <c r="A43" s="216"/>
      <c r="B43" s="217"/>
    </row>
    <row r="44" spans="1:12" s="212" customFormat="1">
      <c r="A44" s="216"/>
      <c r="B44" s="217"/>
    </row>
    <row r="45" spans="1:12" s="212" customFormat="1">
      <c r="A45" s="216"/>
      <c r="B45" s="217"/>
    </row>
    <row r="46" spans="1:12" s="212" customFormat="1">
      <c r="A46" s="216"/>
      <c r="B46" s="217"/>
    </row>
    <row r="47" spans="1:12" s="212" customFormat="1">
      <c r="A47" s="216"/>
      <c r="B47" s="217"/>
    </row>
    <row r="48" spans="1:12" s="212" customFormat="1">
      <c r="A48" s="216"/>
      <c r="B48" s="217"/>
    </row>
    <row r="49" s="212" customFormat="1"/>
    <row r="50" s="212" customFormat="1"/>
    <row r="51" s="212" customFormat="1"/>
    <row r="52" s="212" customFormat="1"/>
    <row r="53" s="212" customFormat="1"/>
    <row r="54" s="212" customFormat="1"/>
    <row r="55" s="212" customFormat="1"/>
    <row r="56" s="212" customFormat="1"/>
    <row r="57" s="212" customFormat="1"/>
    <row r="58" s="212" customFormat="1"/>
    <row r="59" s="212" customFormat="1"/>
    <row r="60" s="212" customFormat="1"/>
    <row r="61" s="212" customFormat="1"/>
    <row r="62" s="212" customFormat="1"/>
    <row r="63" s="212" customFormat="1"/>
    <row r="64" s="212" customFormat="1"/>
    <row r="65" s="212" customFormat="1"/>
    <row r="66" s="212" customFormat="1"/>
    <row r="67" s="212" customFormat="1"/>
    <row r="68" s="212" customFormat="1"/>
    <row r="69" s="212" customFormat="1"/>
    <row r="70" s="212" customFormat="1"/>
    <row r="71" s="212" customFormat="1"/>
    <row r="72" s="212" customFormat="1"/>
    <row r="73" s="212" customFormat="1"/>
    <row r="74" s="212" customFormat="1"/>
    <row r="75" s="212" customFormat="1"/>
    <row r="76" s="212" customFormat="1"/>
    <row r="77" s="212" customFormat="1"/>
    <row r="78" s="212" customFormat="1"/>
    <row r="79" s="212" customFormat="1"/>
    <row r="80" s="212" customFormat="1"/>
    <row r="81" s="212" customFormat="1"/>
    <row r="82" s="212" customFormat="1"/>
    <row r="83" s="212" customFormat="1"/>
    <row r="84" s="212" customFormat="1"/>
    <row r="85" s="212" customFormat="1"/>
    <row r="86" s="212" customFormat="1"/>
    <row r="87" s="212" customFormat="1"/>
    <row r="88" s="212" customFormat="1"/>
    <row r="89" s="212" customFormat="1"/>
    <row r="90" s="212" customFormat="1"/>
    <row r="91" s="212" customFormat="1"/>
    <row r="92" s="212" customFormat="1"/>
    <row r="93" s="212" customFormat="1"/>
    <row r="94" s="212" customFormat="1"/>
    <row r="95" s="212" customFormat="1"/>
    <row r="96" s="212" customFormat="1"/>
    <row r="97" s="212" customFormat="1"/>
    <row r="98" s="212" customFormat="1"/>
    <row r="99" s="212" customFormat="1"/>
    <row r="100" s="212" customFormat="1"/>
    <row r="101" s="212" customFormat="1"/>
    <row r="102" s="212" customFormat="1"/>
    <row r="103" s="212" customFormat="1"/>
    <row r="104" s="212" customFormat="1"/>
    <row r="105" s="212" customFormat="1"/>
    <row r="106" s="212" customFormat="1"/>
    <row r="107" s="212" customFormat="1"/>
    <row r="108" s="212" customFormat="1"/>
    <row r="109" s="212" customFormat="1"/>
    <row r="110" s="212" customFormat="1"/>
    <row r="111" s="212" customFormat="1"/>
    <row r="112" s="212" customFormat="1"/>
    <row r="113" s="212" customFormat="1"/>
    <row r="114" s="212" customFormat="1"/>
    <row r="115" s="212" customFormat="1"/>
    <row r="116" s="212" customFormat="1"/>
    <row r="117" s="212" customFormat="1"/>
    <row r="118" s="212" customFormat="1"/>
    <row r="119" s="212" customFormat="1"/>
    <row r="120" s="212" customFormat="1"/>
    <row r="121" s="212" customFormat="1"/>
    <row r="122" s="212" customFormat="1"/>
    <row r="123" s="212" customFormat="1"/>
    <row r="124" s="212" customFormat="1"/>
    <row r="125" s="212" customFormat="1"/>
    <row r="126" s="212" customFormat="1"/>
    <row r="127" s="212" customFormat="1"/>
    <row r="128" s="212" customFormat="1"/>
    <row r="129" s="212" customFormat="1"/>
    <row r="130" s="212" customFormat="1"/>
    <row r="131" s="212" customFormat="1"/>
    <row r="132" s="212" customFormat="1"/>
    <row r="133" s="212" customFormat="1"/>
    <row r="134" s="212" customFormat="1"/>
    <row r="135" s="212" customFormat="1"/>
    <row r="136" s="212" customFormat="1"/>
    <row r="137" s="212" customFormat="1"/>
    <row r="138" s="212" customFormat="1"/>
    <row r="139" s="212" customFormat="1"/>
    <row r="140" s="212" customFormat="1"/>
    <row r="141" s="212" customFormat="1"/>
    <row r="142" s="212" customFormat="1"/>
    <row r="143" s="212" customFormat="1"/>
    <row r="144" s="212" customFormat="1"/>
    <row r="145" s="212" customFormat="1"/>
    <row r="146" s="212" customFormat="1"/>
    <row r="147" s="212" customFormat="1"/>
    <row r="148" s="212" customFormat="1"/>
    <row r="149" s="212" customFormat="1"/>
    <row r="150" s="212" customFormat="1"/>
    <row r="151" s="212" customFormat="1"/>
    <row r="152" s="212" customFormat="1"/>
    <row r="153" s="212" customFormat="1"/>
    <row r="154" s="212" customFormat="1"/>
    <row r="155" s="212" customFormat="1"/>
    <row r="156" s="212" customFormat="1"/>
    <row r="157" s="212" customFormat="1"/>
    <row r="158" s="212" customFormat="1"/>
    <row r="159" s="212" customFormat="1"/>
    <row r="160" s="212" customFormat="1"/>
    <row r="161" s="212" customFormat="1"/>
    <row r="162" s="212" customFormat="1"/>
    <row r="163" s="212" customFormat="1"/>
    <row r="164" s="212" customFormat="1"/>
    <row r="165" s="212" customFormat="1"/>
    <row r="166" s="212" customFormat="1"/>
    <row r="167" s="212" customFormat="1"/>
    <row r="168" s="212" customFormat="1"/>
    <row r="169" s="212" customFormat="1"/>
    <row r="170" s="212" customFormat="1"/>
    <row r="171" s="212" customFormat="1"/>
    <row r="172" s="212" customFormat="1"/>
    <row r="173" s="212" customFormat="1"/>
    <row r="174" s="212" customFormat="1"/>
    <row r="175" s="212" customFormat="1"/>
    <row r="176" s="212" customFormat="1"/>
    <row r="177" s="212" customFormat="1"/>
    <row r="178" s="212" customFormat="1"/>
    <row r="179" s="212" customFormat="1"/>
    <row r="180" s="212" customFormat="1"/>
    <row r="181" s="212" customFormat="1"/>
    <row r="182" s="212" customFormat="1"/>
    <row r="183" s="212" customFormat="1"/>
    <row r="184" s="212" customFormat="1"/>
    <row r="185" s="212" customFormat="1"/>
    <row r="186" s="212" customFormat="1"/>
    <row r="187" s="212" customFormat="1"/>
    <row r="188" s="212" customFormat="1"/>
    <row r="189" s="212" customFormat="1"/>
    <row r="190" s="212" customFormat="1"/>
  </sheetData>
  <mergeCells count="4">
    <mergeCell ref="A4:A5"/>
    <mergeCell ref="B4:B5"/>
    <mergeCell ref="C4:G4"/>
    <mergeCell ref="H4:L4"/>
  </mergeCells>
  <pageMargins left="0.7" right="0.7" top="0.75" bottom="0.75" header="0.3" footer="0.3"/>
  <pageSetup paperSize="6" scale="2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 Баланс 2017 план-факт </vt:lpstr>
      <vt:lpstr>Баланс 2018 план-факт</vt:lpstr>
      <vt:lpstr>Баланс 2019 г план-факт</vt:lpstr>
      <vt:lpstr>Баланс факт 2021 г, план 2022</vt:lpstr>
      <vt:lpstr>' Баланс 2017 план-факт '!Область_печати</vt:lpstr>
      <vt:lpstr>'Баланс 2018 план-факт'!Область_печати</vt:lpstr>
      <vt:lpstr>'Баланс 2019 г план-факт'!Область_печати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Субуханкулова Наталья Викторовна</dc:creator>
  <cp:lastModifiedBy>TimofeevaAlS</cp:lastModifiedBy>
  <cp:lastPrinted>2023-02-28T07:26:13Z</cp:lastPrinted>
  <dcterms:created xsi:type="dcterms:W3CDTF">2017-01-30T08:00:23Z</dcterms:created>
  <dcterms:modified xsi:type="dcterms:W3CDTF">2023-02-28T08:08:19Z</dcterms:modified>
</cp:coreProperties>
</file>